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michiganstate-my.sharepoint.com/personal/laportej_msu_edu/Documents/Documents/Teams &amp; Workgroups/Field Crops Team/Crop Projection Budgets/2026 Soybean Projection/"/>
    </mc:Choice>
  </mc:AlternateContent>
  <xr:revisionPtr revIDLastSave="209" documentId="8_{4D130266-18EC-4DBA-91BC-BD034E292A5F}" xr6:coauthVersionLast="47" xr6:coauthVersionMax="47" xr10:uidLastSave="{9FA99F9E-168D-4CB1-9353-615343B4FED3}"/>
  <workbookProtection workbookAlgorithmName="SHA-512" workbookHashValue="1+jxP6gzbmw9P5GiouyutCfyzkKtgZKrkdfCCUBA/4t3+nGIrP/Ul3y34dSBeygdtutzdj8/BEfDi2kj4QakFw==" workbookSaltValue="MbXtnAZccwhWrKmcfXgs+w==" workbookSpinCount="100000" lockStructure="1"/>
  <bookViews>
    <workbookView xWindow="-120" yWindow="-120" windowWidth="29040" windowHeight="15720" tabRatio="780" xr2:uid="{00000000-000D-0000-FFFF-FFFF00000000}"/>
  </bookViews>
  <sheets>
    <sheet name="Instructions" sheetId="29" r:id="rId1"/>
    <sheet name="Base Projection" sheetId="22" r:id="rId2"/>
    <sheet name="Build-Up" sheetId="32" r:id="rId3"/>
    <sheet name="Push Production" sheetId="33" r:id="rId4"/>
    <sheet name="Manure" sheetId="28" state="hidden" r:id="rId5"/>
    <sheet name="Fertilizer Calculations (Base)" sheetId="27" state="hidden" r:id="rId6"/>
    <sheet name="Fertilizer Calculations (Build)" sheetId="34" state="hidden" r:id="rId7"/>
    <sheet name="Fertilizer Calculations (Push)" sheetId="35" state="hidden" r:id="rId8"/>
    <sheet name="Chart Data" sheetId="23" state="hidden" r:id="rId9"/>
    <sheet name="Chemical Master List" sheetId="4" state="hidden" r:id="rId10"/>
  </sheets>
  <externalReferences>
    <externalReference r:id="rId11"/>
  </externalReferences>
  <definedNames>
    <definedName name="Chemicals">'Chemical Master List'!$A$1:$A$82</definedName>
    <definedName name="Foliars">'Chemical Master List'!$A$95:$A$102</definedName>
    <definedName name="Fungicides">'Chemical Master List'!$A$85:$A$92</definedName>
    <definedName name="Lime">#REF!</definedName>
    <definedName name="Macronutrients">#REF!</definedName>
    <definedName name="Micronutrients">#REF!</definedName>
    <definedName name="Moisture">'[1]Grain Handling'!$C$51:$C$66</definedName>
    <definedName name="NitrogenStabilizers">#REF!</definedName>
    <definedName name="_xlnm.Print_Area" localSheetId="1">'Base Projection'!$A$1:$F$62,'Base Projection'!$I$3:$M$72</definedName>
    <definedName name="_xlnm.Print_Area" localSheetId="2">'Build-Up'!$A$1:$F$62,'Build-Up'!$I$3:$M$72</definedName>
    <definedName name="_xlnm.Print_Area" localSheetId="0">Instructions!$A$1:$K$45</definedName>
    <definedName name="_xlnm.Print_Area" localSheetId="3">'Push Production'!$A$1:$F$62,'Push Production'!$I$3:$M$72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3" i="22" l="1"/>
  <c r="M75" i="22"/>
  <c r="M33" i="32"/>
  <c r="M75" i="32"/>
  <c r="M33" i="33"/>
  <c r="M75" i="33"/>
  <c r="E21" i="22" l="1"/>
  <c r="E21" i="32"/>
  <c r="E21" i="33"/>
  <c r="M73" i="33"/>
  <c r="M72" i="33"/>
  <c r="M73" i="32"/>
  <c r="M72" i="32"/>
  <c r="M31" i="33"/>
  <c r="M31" i="32"/>
  <c r="M73" i="22"/>
  <c r="M72" i="22"/>
  <c r="M31" i="22"/>
  <c r="T10" i="28" l="1"/>
  <c r="T8" i="28"/>
  <c r="M8" i="28"/>
  <c r="M10" i="28"/>
  <c r="F10" i="28"/>
  <c r="O10" i="28" s="1"/>
  <c r="F8" i="28"/>
  <c r="H8" i="28" s="1"/>
  <c r="H10" i="28" l="1"/>
  <c r="I8" i="28"/>
  <c r="V8" i="28"/>
  <c r="V10" i="28"/>
  <c r="I10" i="28"/>
  <c r="U8" i="28"/>
  <c r="U10" i="28"/>
  <c r="N8" i="28"/>
  <c r="W8" i="28"/>
  <c r="J8" i="28"/>
  <c r="J10" i="28"/>
  <c r="O8" i="28"/>
  <c r="W10" i="28"/>
  <c r="X8" i="28"/>
  <c r="X10" i="28"/>
  <c r="N10" i="28"/>
  <c r="Q8" i="28"/>
  <c r="G8" i="28"/>
  <c r="G10" i="28"/>
  <c r="Q10" i="28"/>
  <c r="P8" i="28"/>
  <c r="P10" i="28"/>
  <c r="I4" i="34"/>
  <c r="H45" i="35" l="1"/>
  <c r="H40" i="35"/>
  <c r="H33" i="35"/>
  <c r="H28" i="35"/>
  <c r="I20" i="35"/>
  <c r="I19" i="35"/>
  <c r="I18" i="35"/>
  <c r="I17" i="35"/>
  <c r="I16" i="35"/>
  <c r="I15" i="35"/>
  <c r="I14" i="35"/>
  <c r="I13" i="35"/>
  <c r="G20" i="35"/>
  <c r="H20" i="35" s="1"/>
  <c r="G17" i="35"/>
  <c r="H17" i="35" s="1"/>
  <c r="G16" i="35"/>
  <c r="H16" i="35" s="1"/>
  <c r="G13" i="35"/>
  <c r="J13" i="35" s="1"/>
  <c r="G7" i="35"/>
  <c r="J7" i="35" s="1"/>
  <c r="G6" i="35"/>
  <c r="J6" i="35" s="1"/>
  <c r="G5" i="35"/>
  <c r="J5" i="35" s="1"/>
  <c r="G4" i="35"/>
  <c r="H4" i="35" s="1"/>
  <c r="I10" i="35"/>
  <c r="I9" i="35"/>
  <c r="I8" i="35"/>
  <c r="I7" i="35"/>
  <c r="I6" i="35"/>
  <c r="I5" i="35"/>
  <c r="I4" i="35"/>
  <c r="G20" i="34"/>
  <c r="H20" i="34" s="1"/>
  <c r="G17" i="34"/>
  <c r="G16" i="34"/>
  <c r="G13" i="34"/>
  <c r="J13" i="34" s="1"/>
  <c r="G7" i="34"/>
  <c r="J7" i="34" s="1"/>
  <c r="G6" i="34"/>
  <c r="J6" i="34" s="1"/>
  <c r="G5" i="34"/>
  <c r="J5" i="34" s="1"/>
  <c r="G4" i="34"/>
  <c r="H4" i="34" s="1"/>
  <c r="M21" i="32"/>
  <c r="M17" i="32"/>
  <c r="M16" i="32"/>
  <c r="H45" i="34"/>
  <c r="H40" i="34"/>
  <c r="H33" i="34"/>
  <c r="H28" i="34"/>
  <c r="I20" i="34"/>
  <c r="I19" i="34"/>
  <c r="I18" i="34"/>
  <c r="I17" i="34"/>
  <c r="I16" i="34"/>
  <c r="I15" i="34"/>
  <c r="I14" i="34"/>
  <c r="I13" i="34"/>
  <c r="I10" i="34"/>
  <c r="I9" i="34"/>
  <c r="I8" i="34"/>
  <c r="I7" i="34"/>
  <c r="I6" i="34"/>
  <c r="I5" i="34"/>
  <c r="N45" i="35"/>
  <c r="N44" i="35"/>
  <c r="M44" i="35"/>
  <c r="G40" i="35"/>
  <c r="N39" i="35" s="1"/>
  <c r="N40" i="35" s="1"/>
  <c r="F40" i="35"/>
  <c r="M39" i="35" s="1"/>
  <c r="G33" i="35"/>
  <c r="F33" i="35"/>
  <c r="M31" i="35" s="1"/>
  <c r="N31" i="35"/>
  <c r="N32" i="35" s="1"/>
  <c r="G28" i="35"/>
  <c r="F28" i="35"/>
  <c r="N26" i="35"/>
  <c r="N27" i="35" s="1"/>
  <c r="M26" i="35"/>
  <c r="M27" i="35" s="1"/>
  <c r="P22" i="35" s="1"/>
  <c r="L20" i="35"/>
  <c r="S5" i="35"/>
  <c r="L19" i="35"/>
  <c r="L18" i="35"/>
  <c r="L17" i="35"/>
  <c r="L16" i="35"/>
  <c r="L15" i="35"/>
  <c r="L14" i="35"/>
  <c r="L13" i="35"/>
  <c r="L10" i="35"/>
  <c r="L9" i="35"/>
  <c r="L8" i="35"/>
  <c r="L7" i="35"/>
  <c r="M21" i="33"/>
  <c r="L6" i="35"/>
  <c r="L5" i="35"/>
  <c r="L4" i="35"/>
  <c r="M45" i="34"/>
  <c r="N44" i="34"/>
  <c r="N45" i="34" s="1"/>
  <c r="M44" i="34"/>
  <c r="G40" i="34"/>
  <c r="N39" i="34" s="1"/>
  <c r="N40" i="34" s="1"/>
  <c r="F40" i="34"/>
  <c r="M39" i="34"/>
  <c r="M40" i="34" s="1"/>
  <c r="G33" i="34"/>
  <c r="N31" i="34" s="1"/>
  <c r="F33" i="34"/>
  <c r="M31" i="34" s="1"/>
  <c r="G28" i="34"/>
  <c r="F28" i="34"/>
  <c r="M26" i="34" s="1"/>
  <c r="N26" i="34"/>
  <c r="N27" i="34" s="1"/>
  <c r="L20" i="34"/>
  <c r="S5" i="34"/>
  <c r="L19" i="34"/>
  <c r="L18" i="34"/>
  <c r="L17" i="34"/>
  <c r="H17" i="34"/>
  <c r="L16" i="34"/>
  <c r="H16" i="34"/>
  <c r="L15" i="34"/>
  <c r="L14" i="34"/>
  <c r="L13" i="34"/>
  <c r="L10" i="34"/>
  <c r="L9" i="34"/>
  <c r="L8" i="34"/>
  <c r="L7" i="34"/>
  <c r="L6" i="34"/>
  <c r="L5" i="34"/>
  <c r="L4" i="34"/>
  <c r="M69" i="33"/>
  <c r="M68" i="33"/>
  <c r="M67" i="33"/>
  <c r="M66" i="33"/>
  <c r="M65" i="33"/>
  <c r="M64" i="33"/>
  <c r="M63" i="33"/>
  <c r="M61" i="33"/>
  <c r="M60" i="33"/>
  <c r="M59" i="33"/>
  <c r="M54" i="33"/>
  <c r="M53" i="33"/>
  <c r="M52" i="33"/>
  <c r="M51" i="33"/>
  <c r="M50" i="33"/>
  <c r="F51" i="33"/>
  <c r="E51" i="33"/>
  <c r="M49" i="33"/>
  <c r="F50" i="33"/>
  <c r="M48" i="33"/>
  <c r="F49" i="33"/>
  <c r="F48" i="33"/>
  <c r="M46" i="33"/>
  <c r="F47" i="33"/>
  <c r="M45" i="33"/>
  <c r="F46" i="33"/>
  <c r="M44" i="33"/>
  <c r="F45" i="33"/>
  <c r="M43" i="33"/>
  <c r="F44" i="33"/>
  <c r="F39" i="33"/>
  <c r="F38" i="33"/>
  <c r="F37" i="33"/>
  <c r="F36" i="33"/>
  <c r="F35" i="33"/>
  <c r="F34" i="33"/>
  <c r="F33" i="33"/>
  <c r="F32" i="33"/>
  <c r="F31" i="33"/>
  <c r="F30" i="33"/>
  <c r="F29" i="33"/>
  <c r="M28" i="33"/>
  <c r="F28" i="33"/>
  <c r="M27" i="33"/>
  <c r="F27" i="33"/>
  <c r="M26" i="33"/>
  <c r="F26" i="33"/>
  <c r="F25" i="33"/>
  <c r="F24" i="33"/>
  <c r="F23" i="33"/>
  <c r="O22" i="33"/>
  <c r="P22" i="33" s="1"/>
  <c r="F22" i="33"/>
  <c r="E15" i="33"/>
  <c r="M7" i="33"/>
  <c r="E19" i="33" s="1"/>
  <c r="F19" i="33" s="1"/>
  <c r="M69" i="32"/>
  <c r="M68" i="32"/>
  <c r="M67" i="32"/>
  <c r="M66" i="32"/>
  <c r="M65" i="32"/>
  <c r="M64" i="32"/>
  <c r="M63" i="32"/>
  <c r="M61" i="32"/>
  <c r="M60" i="32"/>
  <c r="M59" i="32"/>
  <c r="M54" i="32"/>
  <c r="M53" i="32"/>
  <c r="M52" i="32"/>
  <c r="M51" i="32"/>
  <c r="M50" i="32"/>
  <c r="F51" i="32"/>
  <c r="E51" i="32"/>
  <c r="M49" i="32"/>
  <c r="F50" i="32"/>
  <c r="M48" i="32"/>
  <c r="F49" i="32"/>
  <c r="F48" i="32"/>
  <c r="M46" i="32"/>
  <c r="F47" i="32"/>
  <c r="M45" i="32"/>
  <c r="F46" i="32"/>
  <c r="M44" i="32"/>
  <c r="F45" i="32"/>
  <c r="M43" i="32"/>
  <c r="F44" i="32"/>
  <c r="F39" i="32"/>
  <c r="F38" i="32"/>
  <c r="F37" i="32"/>
  <c r="F36" i="32"/>
  <c r="F35" i="32"/>
  <c r="F34" i="32"/>
  <c r="F33" i="32"/>
  <c r="F32" i="32"/>
  <c r="F31" i="32"/>
  <c r="F30" i="32"/>
  <c r="F29" i="32"/>
  <c r="M28" i="32"/>
  <c r="F28" i="32"/>
  <c r="M27" i="32"/>
  <c r="F27" i="32"/>
  <c r="M26" i="32"/>
  <c r="F26" i="32"/>
  <c r="F25" i="32"/>
  <c r="F24" i="32"/>
  <c r="F23" i="32"/>
  <c r="O22" i="32"/>
  <c r="P22" i="32" s="1"/>
  <c r="F22" i="32"/>
  <c r="E15" i="32"/>
  <c r="M7" i="32"/>
  <c r="E19" i="32" s="1"/>
  <c r="F19" i="32" s="1"/>
  <c r="F22" i="22"/>
  <c r="F23" i="22"/>
  <c r="F24" i="22"/>
  <c r="F25" i="22"/>
  <c r="F26" i="22"/>
  <c r="F27" i="22"/>
  <c r="F28" i="22"/>
  <c r="F29" i="22"/>
  <c r="F30" i="22"/>
  <c r="F31" i="22"/>
  <c r="F32" i="22"/>
  <c r="F33" i="22"/>
  <c r="F34" i="22"/>
  <c r="F35" i="22"/>
  <c r="F36" i="22"/>
  <c r="F37" i="22"/>
  <c r="F38" i="22"/>
  <c r="F39" i="22"/>
  <c r="F21" i="32" l="1"/>
  <c r="Q5" i="34"/>
  <c r="H6" i="34"/>
  <c r="M17" i="33"/>
  <c r="F21" i="33"/>
  <c r="R5" i="35"/>
  <c r="Q5" i="35"/>
  <c r="J16" i="35"/>
  <c r="M22" i="33" s="1"/>
  <c r="P5" i="35"/>
  <c r="P5" i="34"/>
  <c r="M32" i="35"/>
  <c r="M40" i="35"/>
  <c r="F41" i="35"/>
  <c r="F42" i="35" s="1"/>
  <c r="J4" i="35"/>
  <c r="M18" i="33" s="1"/>
  <c r="F34" i="35"/>
  <c r="F35" i="35" s="1"/>
  <c r="F29" i="35"/>
  <c r="F30" i="35" s="1"/>
  <c r="J17" i="35"/>
  <c r="M23" i="33" s="1"/>
  <c r="J20" i="35"/>
  <c r="M25" i="33" s="1"/>
  <c r="P21" i="35"/>
  <c r="M45" i="35"/>
  <c r="H6" i="35" s="1"/>
  <c r="J16" i="34"/>
  <c r="M22" i="32" s="1"/>
  <c r="J17" i="34"/>
  <c r="M23" i="32" s="1"/>
  <c r="F41" i="34"/>
  <c r="F42" i="34" s="1"/>
  <c r="F29" i="34"/>
  <c r="F30" i="34" s="1"/>
  <c r="J4" i="34"/>
  <c r="M18" i="32" s="1"/>
  <c r="F34" i="34"/>
  <c r="F35" i="34" s="1"/>
  <c r="M27" i="34"/>
  <c r="P22" i="34" s="1"/>
  <c r="P21" i="34"/>
  <c r="M32" i="34"/>
  <c r="N32" i="34"/>
  <c r="J20" i="34"/>
  <c r="M25" i="32" s="1"/>
  <c r="R5" i="34"/>
  <c r="G9" i="35" l="1"/>
  <c r="G35" i="35"/>
  <c r="G42" i="35"/>
  <c r="G10" i="35"/>
  <c r="H10" i="35" s="1"/>
  <c r="G8" i="35"/>
  <c r="G30" i="35"/>
  <c r="G9" i="34"/>
  <c r="G35" i="34"/>
  <c r="H35" i="34" s="1"/>
  <c r="I35" i="34" s="1"/>
  <c r="G8" i="34"/>
  <c r="G30" i="34"/>
  <c r="G10" i="34"/>
  <c r="H10" i="34" s="1"/>
  <c r="G42" i="34"/>
  <c r="G14" i="35" l="1"/>
  <c r="G29" i="35"/>
  <c r="H30" i="35"/>
  <c r="I30" i="35" s="1"/>
  <c r="G19" i="35"/>
  <c r="H19" i="35" s="1"/>
  <c r="J19" i="35" s="1"/>
  <c r="G41" i="35"/>
  <c r="G34" i="35"/>
  <c r="G15" i="35"/>
  <c r="F46" i="35"/>
  <c r="F47" i="35" s="1"/>
  <c r="J10" i="35"/>
  <c r="H42" i="35"/>
  <c r="H35" i="35"/>
  <c r="I35" i="35" s="1"/>
  <c r="G41" i="34"/>
  <c r="G19" i="34"/>
  <c r="H19" i="34" s="1"/>
  <c r="J19" i="34" s="1"/>
  <c r="H42" i="34"/>
  <c r="F46" i="34"/>
  <c r="F47" i="34" s="1"/>
  <c r="J10" i="34"/>
  <c r="G14" i="34"/>
  <c r="G29" i="34"/>
  <c r="H30" i="34"/>
  <c r="I30" i="34" s="1"/>
  <c r="H9" i="34"/>
  <c r="J9" i="34" s="1"/>
  <c r="H15" i="34"/>
  <c r="J15" i="34" s="1"/>
  <c r="G34" i="34"/>
  <c r="G15" i="34"/>
  <c r="M20" i="32" l="1"/>
  <c r="M24" i="33"/>
  <c r="M24" i="32"/>
  <c r="H9" i="35"/>
  <c r="J9" i="35" s="1"/>
  <c r="H15" i="35"/>
  <c r="J15" i="35" s="1"/>
  <c r="G47" i="35"/>
  <c r="H14" i="35"/>
  <c r="J14" i="35" s="1"/>
  <c r="H8" i="35"/>
  <c r="J8" i="35" s="1"/>
  <c r="H14" i="34"/>
  <c r="J14" i="34" s="1"/>
  <c r="H8" i="34"/>
  <c r="J8" i="34" s="1"/>
  <c r="G47" i="34"/>
  <c r="M20" i="33" l="1"/>
  <c r="J11" i="35"/>
  <c r="M19" i="33"/>
  <c r="J11" i="34"/>
  <c r="M19" i="32"/>
  <c r="E20" i="32" s="1"/>
  <c r="G46" i="35"/>
  <c r="G18" i="35"/>
  <c r="H18" i="35" s="1"/>
  <c r="J18" i="35" s="1"/>
  <c r="J21" i="35" s="1"/>
  <c r="H47" i="35"/>
  <c r="G46" i="34"/>
  <c r="G18" i="34"/>
  <c r="H18" i="34" s="1"/>
  <c r="J18" i="34" s="1"/>
  <c r="J21" i="34" s="1"/>
  <c r="H47" i="34"/>
  <c r="J23" i="35" l="1"/>
  <c r="J23" i="34"/>
  <c r="F20" i="32"/>
  <c r="E40" i="32"/>
  <c r="E41" i="32" l="1"/>
  <c r="E52" i="32"/>
  <c r="E59" i="32" l="1"/>
  <c r="E53" i="32"/>
  <c r="E58" i="32"/>
  <c r="M46" i="22" l="1"/>
  <c r="M45" i="22"/>
  <c r="M69" i="22"/>
  <c r="M68" i="22"/>
  <c r="M54" i="22"/>
  <c r="M53" i="22"/>
  <c r="I20" i="27" l="1"/>
  <c r="G20" i="27"/>
  <c r="H20" i="27" s="1"/>
  <c r="L20" i="27"/>
  <c r="I17" i="27"/>
  <c r="L17" i="27"/>
  <c r="L16" i="27"/>
  <c r="G17" i="27"/>
  <c r="H17" i="27" s="1"/>
  <c r="J20" i="27" l="1"/>
  <c r="M25" i="22" s="1"/>
  <c r="J17" i="27"/>
  <c r="M23" i="22" s="1"/>
  <c r="M26" i="22" l="1"/>
  <c r="I13" i="27"/>
  <c r="G13" i="27"/>
  <c r="L13" i="27"/>
  <c r="I7" i="27"/>
  <c r="G7" i="27"/>
  <c r="J13" i="27" l="1"/>
  <c r="L7" i="27"/>
  <c r="J7" i="27" s="1"/>
  <c r="M21" i="22" s="1"/>
  <c r="M7" i="22" l="1"/>
  <c r="E15" i="22" l="1"/>
  <c r="M28" i="22"/>
  <c r="M27" i="22" l="1"/>
  <c r="E51" i="22" l="1"/>
  <c r="F45" i="22"/>
  <c r="F46" i="22"/>
  <c r="F47" i="22"/>
  <c r="F48" i="22"/>
  <c r="F49" i="22"/>
  <c r="F50" i="22"/>
  <c r="V19" i="33" l="1"/>
  <c r="V19" i="32"/>
  <c r="V24" i="32"/>
  <c r="V24" i="33"/>
  <c r="V24" i="22"/>
  <c r="V19" i="22"/>
  <c r="W24" i="32" l="1"/>
  <c r="W24" i="33"/>
  <c r="X24" i="32"/>
  <c r="X24" i="33"/>
  <c r="U24" i="33"/>
  <c r="U24" i="32"/>
  <c r="W19" i="33"/>
  <c r="L36" i="33" s="1"/>
  <c r="W19" i="32"/>
  <c r="L36" i="32" s="1"/>
  <c r="X19" i="33"/>
  <c r="X19" i="32"/>
  <c r="M36" i="32" s="1"/>
  <c r="U19" i="32"/>
  <c r="J36" i="32" s="1"/>
  <c r="U19" i="33"/>
  <c r="J36" i="33" s="1"/>
  <c r="K36" i="32"/>
  <c r="K36" i="33"/>
  <c r="W24" i="22"/>
  <c r="X24" i="22"/>
  <c r="U24" i="22"/>
  <c r="W19" i="22"/>
  <c r="X19" i="22"/>
  <c r="U19" i="22"/>
  <c r="L6" i="27"/>
  <c r="I6" i="27"/>
  <c r="L18" i="27"/>
  <c r="I19" i="27"/>
  <c r="I18" i="27"/>
  <c r="L5" i="27"/>
  <c r="H45" i="27"/>
  <c r="N44" i="27"/>
  <c r="M44" i="27"/>
  <c r="G6" i="27"/>
  <c r="M36" i="33" l="1"/>
  <c r="S5" i="27"/>
  <c r="M36" i="22" s="1"/>
  <c r="J6" i="27"/>
  <c r="M17" i="22" s="1"/>
  <c r="M45" i="27"/>
  <c r="H6" i="27" s="1"/>
  <c r="N45" i="27"/>
  <c r="M43" i="22" l="1"/>
  <c r="L10" i="27" l="1"/>
  <c r="L19" i="27"/>
  <c r="I10" i="27"/>
  <c r="I15" i="27"/>
  <c r="I9" i="27"/>
  <c r="I14" i="27"/>
  <c r="I8" i="27"/>
  <c r="M67" i="22"/>
  <c r="M66" i="22"/>
  <c r="M65" i="22"/>
  <c r="M64" i="22"/>
  <c r="M63" i="22"/>
  <c r="M61" i="22"/>
  <c r="M60" i="22"/>
  <c r="M59" i="22"/>
  <c r="M49" i="22"/>
  <c r="M50" i="22"/>
  <c r="M51" i="22"/>
  <c r="M52" i="22"/>
  <c r="M48" i="22"/>
  <c r="M44" i="22"/>
  <c r="F21" i="22" l="1"/>
  <c r="Q5" i="27"/>
  <c r="K36" i="22"/>
  <c r="H40" i="27"/>
  <c r="G40" i="27"/>
  <c r="N39" i="27" s="1"/>
  <c r="F40" i="27"/>
  <c r="M39" i="27" s="1"/>
  <c r="H33" i="27"/>
  <c r="G33" i="27"/>
  <c r="F33" i="27"/>
  <c r="M31" i="27" s="1"/>
  <c r="N31" i="27"/>
  <c r="H28" i="27"/>
  <c r="G28" i="27"/>
  <c r="N26" i="27" s="1"/>
  <c r="F28" i="27"/>
  <c r="M26" i="27" s="1"/>
  <c r="M27" i="27" s="1"/>
  <c r="I16" i="27"/>
  <c r="R5" i="27" s="1"/>
  <c r="G16" i="27"/>
  <c r="H16" i="27" s="1"/>
  <c r="L15" i="27"/>
  <c r="L14" i="27"/>
  <c r="L9" i="27"/>
  <c r="L8" i="27"/>
  <c r="I5" i="27"/>
  <c r="G5" i="27"/>
  <c r="J5" i="27" s="1"/>
  <c r="L4" i="27"/>
  <c r="I4" i="27"/>
  <c r="G4" i="27"/>
  <c r="H4" i="27" s="1"/>
  <c r="M16" i="22" l="1"/>
  <c r="M16" i="33"/>
  <c r="E20" i="33" s="1"/>
  <c r="P5" i="27"/>
  <c r="J36" i="22" s="1"/>
  <c r="L36" i="22"/>
  <c r="J16" i="27"/>
  <c r="M22" i="22" s="1"/>
  <c r="F29" i="27"/>
  <c r="F30" i="27" s="1"/>
  <c r="G30" i="27" s="1"/>
  <c r="N32" i="27"/>
  <c r="N27" i="27"/>
  <c r="P21" i="27"/>
  <c r="M40" i="27"/>
  <c r="N40" i="27"/>
  <c r="M32" i="27"/>
  <c r="O22" i="22"/>
  <c r="P22" i="22" s="1"/>
  <c r="E19" i="22"/>
  <c r="F20" i="33" l="1"/>
  <c r="E40" i="33"/>
  <c r="F34" i="27"/>
  <c r="H30" i="27"/>
  <c r="I30" i="27" s="1"/>
  <c r="G8" i="27"/>
  <c r="J4" i="27"/>
  <c r="F41" i="27"/>
  <c r="F42" i="27" s="1"/>
  <c r="G42" i="27" s="1"/>
  <c r="G19" i="27" s="1"/>
  <c r="P22" i="27"/>
  <c r="G14" i="27"/>
  <c r="G29" i="27"/>
  <c r="E52" i="33" l="1"/>
  <c r="E41" i="33"/>
  <c r="M18" i="22"/>
  <c r="H19" i="27"/>
  <c r="J19" i="27" s="1"/>
  <c r="F35" i="27"/>
  <c r="G35" i="27" s="1"/>
  <c r="G15" i="27" s="1"/>
  <c r="G10" i="27"/>
  <c r="H10" i="27" s="1"/>
  <c r="F46" i="27" s="1"/>
  <c r="F47" i="27" s="1"/>
  <c r="H42" i="27"/>
  <c r="H14" i="27"/>
  <c r="J14" i="27" s="1"/>
  <c r="H8" i="27"/>
  <c r="J8" i="27" s="1"/>
  <c r="G41" i="27"/>
  <c r="F19" i="22"/>
  <c r="E58" i="33" l="1"/>
  <c r="E59" i="33"/>
  <c r="E53" i="33"/>
  <c r="G47" i="27"/>
  <c r="H47" i="27" s="1"/>
  <c r="J10" i="27"/>
  <c r="M24" i="22" s="1"/>
  <c r="G34" i="27"/>
  <c r="H35" i="27"/>
  <c r="I35" i="27" s="1"/>
  <c r="G9" i="27"/>
  <c r="J2" i="23"/>
  <c r="J3" i="23"/>
  <c r="F51" i="22"/>
  <c r="L2" i="23"/>
  <c r="L3" i="23"/>
  <c r="K3" i="23"/>
  <c r="D29" i="23"/>
  <c r="D30" i="23"/>
  <c r="D22" i="23"/>
  <c r="D23" i="23"/>
  <c r="D24" i="23"/>
  <c r="D19" i="23"/>
  <c r="D20" i="23"/>
  <c r="D16" i="23"/>
  <c r="D17" i="23"/>
  <c r="D9" i="23"/>
  <c r="D10" i="23"/>
  <c r="D11" i="23"/>
  <c r="D4" i="23"/>
  <c r="D5" i="23"/>
  <c r="D6" i="23"/>
  <c r="D7" i="23"/>
  <c r="D12" i="23"/>
  <c r="D13" i="23"/>
  <c r="D14" i="23"/>
  <c r="D25" i="23"/>
  <c r="D26" i="23"/>
  <c r="D27" i="23"/>
  <c r="D31" i="23"/>
  <c r="D32" i="23"/>
  <c r="D33" i="23"/>
  <c r="D2" i="23"/>
  <c r="D44" i="23"/>
  <c r="C44" i="23"/>
  <c r="C42" i="23"/>
  <c r="C32" i="23"/>
  <c r="D42" i="23"/>
  <c r="D41" i="23"/>
  <c r="C41" i="23"/>
  <c r="D40" i="23"/>
  <c r="C40" i="23"/>
  <c r="D35" i="23"/>
  <c r="D36" i="23"/>
  <c r="D37" i="23"/>
  <c r="D38" i="23"/>
  <c r="D34" i="23"/>
  <c r="C38" i="23"/>
  <c r="C35" i="23"/>
  <c r="C36" i="23"/>
  <c r="C37" i="23"/>
  <c r="C34" i="23"/>
  <c r="B34" i="23"/>
  <c r="C16" i="23"/>
  <c r="C17" i="23"/>
  <c r="C19" i="23"/>
  <c r="C20" i="23"/>
  <c r="C22" i="23"/>
  <c r="C23" i="23"/>
  <c r="C24" i="23"/>
  <c r="C29" i="23"/>
  <c r="C30" i="23"/>
  <c r="B29" i="23"/>
  <c r="B30" i="23"/>
  <c r="B22" i="23"/>
  <c r="B23" i="23"/>
  <c r="B24" i="23"/>
  <c r="B19" i="23"/>
  <c r="B20" i="23"/>
  <c r="B16" i="23"/>
  <c r="B17" i="23"/>
  <c r="C9" i="23"/>
  <c r="C10" i="23"/>
  <c r="C11" i="23"/>
  <c r="B9" i="23"/>
  <c r="B10" i="23"/>
  <c r="B11" i="23"/>
  <c r="C4" i="23"/>
  <c r="C5" i="23"/>
  <c r="C6" i="23"/>
  <c r="C7" i="23"/>
  <c r="C12" i="23"/>
  <c r="C13" i="23"/>
  <c r="C14" i="23"/>
  <c r="C25" i="23"/>
  <c r="C26" i="23"/>
  <c r="C27" i="23"/>
  <c r="C31" i="23"/>
  <c r="C33" i="23"/>
  <c r="C2" i="23"/>
  <c r="B4" i="23"/>
  <c r="B5" i="23"/>
  <c r="B6" i="23"/>
  <c r="B7" i="23"/>
  <c r="B38" i="23"/>
  <c r="B33" i="23"/>
  <c r="B42" i="23"/>
  <c r="B32" i="23"/>
  <c r="B41" i="23"/>
  <c r="B44" i="23"/>
  <c r="B40" i="23"/>
  <c r="B35" i="23"/>
  <c r="B36" i="23"/>
  <c r="B37" i="23"/>
  <c r="B12" i="23"/>
  <c r="B13" i="23"/>
  <c r="B14" i="23"/>
  <c r="B25" i="23"/>
  <c r="B26" i="23"/>
  <c r="B27" i="23"/>
  <c r="B31" i="23"/>
  <c r="B2" i="23"/>
  <c r="F44" i="22"/>
  <c r="G46" i="27" l="1"/>
  <c r="G18" i="27"/>
  <c r="H18" i="27" s="1"/>
  <c r="J18" i="27" s="1"/>
  <c r="H15" i="27"/>
  <c r="J15" i="27" s="1"/>
  <c r="H9" i="27"/>
  <c r="J9" i="27" s="1"/>
  <c r="J11" i="27" s="1"/>
  <c r="M19" i="22"/>
  <c r="B8" i="23"/>
  <c r="B39" i="23"/>
  <c r="B21" i="23"/>
  <c r="L8" i="23"/>
  <c r="D15" i="23"/>
  <c r="C39" i="23"/>
  <c r="D39" i="23"/>
  <c r="B18" i="23"/>
  <c r="B15" i="23"/>
  <c r="B28" i="23"/>
  <c r="D28" i="23"/>
  <c r="D8" i="23"/>
  <c r="B43" i="23"/>
  <c r="D18" i="23"/>
  <c r="C3" i="23"/>
  <c r="B3" i="23"/>
  <c r="C8" i="23"/>
  <c r="J8" i="23"/>
  <c r="D21" i="23"/>
  <c r="C15" i="23"/>
  <c r="D43" i="23"/>
  <c r="C28" i="23"/>
  <c r="D3" i="23"/>
  <c r="C21" i="23"/>
  <c r="C18" i="23"/>
  <c r="C43" i="23"/>
  <c r="J21" i="27" l="1"/>
  <c r="J23" i="27" s="1"/>
  <c r="J4" i="23"/>
  <c r="L4" i="23"/>
  <c r="M20" i="22" l="1"/>
  <c r="E20" i="22" l="1"/>
  <c r="F20" i="22" s="1"/>
  <c r="E40" i="22" l="1"/>
  <c r="E41" i="22" s="1"/>
  <c r="E52" i="22" l="1"/>
  <c r="K2" i="23"/>
  <c r="K8" i="23" s="1"/>
  <c r="E53" i="22" l="1"/>
  <c r="E58" i="22"/>
  <c r="E59" i="22"/>
  <c r="K4" i="23"/>
</calcChain>
</file>

<file path=xl/sharedStrings.xml><?xml version="1.0" encoding="utf-8"?>
<sst xmlns="http://schemas.openxmlformats.org/spreadsheetml/2006/main" count="2425" uniqueCount="598">
  <si>
    <t>Nitrogen</t>
  </si>
  <si>
    <t>Phosphorus</t>
  </si>
  <si>
    <t>None</t>
  </si>
  <si>
    <t>Gallons</t>
  </si>
  <si>
    <t>Pound</t>
  </si>
  <si>
    <t>Name</t>
  </si>
  <si>
    <t>Selling Unit</t>
  </si>
  <si>
    <t>Rate Unit</t>
  </si>
  <si>
    <t>App Unit</t>
  </si>
  <si>
    <t>qt</t>
  </si>
  <si>
    <t>2,4-D</t>
  </si>
  <si>
    <t>pt</t>
  </si>
  <si>
    <t>Gallon</t>
  </si>
  <si>
    <t>Armezon/Impact</t>
  </si>
  <si>
    <t>oz</t>
  </si>
  <si>
    <t>Ounce</t>
  </si>
  <si>
    <t>Armezon Pro</t>
  </si>
  <si>
    <t>lb</t>
  </si>
  <si>
    <t>Cadet</t>
  </si>
  <si>
    <t>Quart</t>
  </si>
  <si>
    <t>Capreno</t>
  </si>
  <si>
    <t>Corvus</t>
  </si>
  <si>
    <t>Halex GT</t>
  </si>
  <si>
    <t>Lexar EZ</t>
  </si>
  <si>
    <t>Liberty</t>
  </si>
  <si>
    <t>Lumax EZ</t>
  </si>
  <si>
    <t>Outlook</t>
  </si>
  <si>
    <t>Prowl H20</t>
  </si>
  <si>
    <t>Sharpen</t>
  </si>
  <si>
    <t>Verdict</t>
  </si>
  <si>
    <t>Warrant</t>
  </si>
  <si>
    <t>Zidua</t>
  </si>
  <si>
    <t>Ammonium Sulfate</t>
  </si>
  <si>
    <t>Priaxor</t>
  </si>
  <si>
    <t>Stratego YLD</t>
  </si>
  <si>
    <t>Per Acre</t>
  </si>
  <si>
    <t>Seed</t>
  </si>
  <si>
    <t>Fertilizer</t>
  </si>
  <si>
    <t>Custom Hire</t>
  </si>
  <si>
    <t>Driver &amp; Equipment Hire</t>
  </si>
  <si>
    <t>Equipment Hire</t>
  </si>
  <si>
    <t>Crop Insurance</t>
  </si>
  <si>
    <t>Freight &amp; Trucking</t>
  </si>
  <si>
    <t>Gas/Fuel</t>
  </si>
  <si>
    <t>Equipment Fuel</t>
  </si>
  <si>
    <t>Drying Propane</t>
  </si>
  <si>
    <t>Repairs &amp; Maintenance</t>
  </si>
  <si>
    <t>Supplies</t>
  </si>
  <si>
    <t>Storage</t>
  </si>
  <si>
    <t>Utilities</t>
  </si>
  <si>
    <t>Irrigation</t>
  </si>
  <si>
    <t>N</t>
  </si>
  <si>
    <t>P</t>
  </si>
  <si>
    <t>S</t>
  </si>
  <si>
    <t>Acres</t>
  </si>
  <si>
    <t>Fungicides</t>
  </si>
  <si>
    <t>Repairs</t>
  </si>
  <si>
    <t>Fuel/Electricity</t>
  </si>
  <si>
    <t>Alfalfa Hay</t>
  </si>
  <si>
    <t>INCOME</t>
  </si>
  <si>
    <t>(Enter Below)</t>
  </si>
  <si>
    <t>Corn Chemicals</t>
  </si>
  <si>
    <t>Boundary</t>
  </si>
  <si>
    <t>Optill</t>
  </si>
  <si>
    <t>Reflex</t>
  </si>
  <si>
    <t>Soybean Chemicals</t>
  </si>
  <si>
    <t>Adjuvants</t>
  </si>
  <si>
    <t>Ammonium Sulfate (Liquid)</t>
  </si>
  <si>
    <t>Ammonium Sulfate (Replacement)</t>
  </si>
  <si>
    <t>Methylated Seed Oil (MSO)</t>
  </si>
  <si>
    <t>Crop Oil Concentrate</t>
  </si>
  <si>
    <t>Drift Agent/Spreader</t>
  </si>
  <si>
    <t>Insecticides</t>
  </si>
  <si>
    <t>Insecticide (pint rate)</t>
  </si>
  <si>
    <t>Insecticide (ounce rate)</t>
  </si>
  <si>
    <t>Insecticide (pound rate)</t>
  </si>
  <si>
    <t>Insecticide (quart rate)</t>
  </si>
  <si>
    <t>Atrazine (Liquid)</t>
  </si>
  <si>
    <t>Atrazine (Dry)</t>
  </si>
  <si>
    <t>Balance Flexx</t>
  </si>
  <si>
    <t>Breakfree NXT/Harness/Surpass NXT</t>
  </si>
  <si>
    <t>Callisto</t>
  </si>
  <si>
    <t>Dual II Magnum/Cinch/Parallel</t>
  </si>
  <si>
    <t>Princep</t>
  </si>
  <si>
    <t>Python/Accolade</t>
  </si>
  <si>
    <t>Resolve SG</t>
  </si>
  <si>
    <t>Valor/Rowell</t>
  </si>
  <si>
    <t>Acuron</t>
  </si>
  <si>
    <t>Acuron Flex</t>
  </si>
  <si>
    <t>Anthem Maxx</t>
  </si>
  <si>
    <t>Anthem ATZ</t>
  </si>
  <si>
    <t>Basis Blend</t>
  </si>
  <si>
    <t>Bicip II Magnum/Cinch ATZ/Parallel Plus</t>
  </si>
  <si>
    <t>Breakfree NXT Lite/Degree XTRA/Fultime NXT/Keystone LA NXT</t>
  </si>
  <si>
    <t>Breakfree NXT ATZ/Harness XTRA/Keystone NXT</t>
  </si>
  <si>
    <t>Fierce</t>
  </si>
  <si>
    <t>Harness Max</t>
  </si>
  <si>
    <t>Hornet WDG/Stanza</t>
  </si>
  <si>
    <t>Instigate</t>
  </si>
  <si>
    <t>Prequel</t>
  </si>
  <si>
    <t>Soil Premix</t>
  </si>
  <si>
    <t>Soil</t>
  </si>
  <si>
    <t>Resicore</t>
  </si>
  <si>
    <t>Surestart II/TripleFlex II</t>
  </si>
  <si>
    <t>Zemax</t>
  </si>
  <si>
    <t>Post</t>
  </si>
  <si>
    <t>Accent Q</t>
  </si>
  <si>
    <t>Aim</t>
  </si>
  <si>
    <t>Banvel/Clarity</t>
  </si>
  <si>
    <t>Basagran/Broadloom</t>
  </si>
  <si>
    <t>Beacon</t>
  </si>
  <si>
    <t>Buctril/Moxy</t>
  </si>
  <si>
    <t>DiFlexx</t>
  </si>
  <si>
    <t>Laudis</t>
  </si>
  <si>
    <t>Permit</t>
  </si>
  <si>
    <t>Resource</t>
  </si>
  <si>
    <t>Stinger</t>
  </si>
  <si>
    <t>Callisto XTRA</t>
  </si>
  <si>
    <t>DiFlexx Duo</t>
  </si>
  <si>
    <t>Realm Q</t>
  </si>
  <si>
    <t>Resolve Q</t>
  </si>
  <si>
    <t>Revulin Q</t>
  </si>
  <si>
    <t>Solstice</t>
  </si>
  <si>
    <t>Status</t>
  </si>
  <si>
    <t>Steadfast Q</t>
  </si>
  <si>
    <t>Yukon</t>
  </si>
  <si>
    <t>Callisto GT</t>
  </si>
  <si>
    <t>Expert</t>
  </si>
  <si>
    <t>Sequence</t>
  </si>
  <si>
    <t>Timing</t>
  </si>
  <si>
    <t>Site of Action</t>
  </si>
  <si>
    <t>Post Pre-Mix</t>
  </si>
  <si>
    <t>Glyphosate</t>
  </si>
  <si>
    <t>14/15</t>
  </si>
  <si>
    <t>15/14/5</t>
  </si>
  <si>
    <t>15/27</t>
  </si>
  <si>
    <t>5/27</t>
  </si>
  <si>
    <t>2/27</t>
  </si>
  <si>
    <t>4/27</t>
  </si>
  <si>
    <t>2/4</t>
  </si>
  <si>
    <t>9/27</t>
  </si>
  <si>
    <t>5/9/15</t>
  </si>
  <si>
    <t>9/15/27</t>
  </si>
  <si>
    <t>2/2</t>
  </si>
  <si>
    <t>9/15</t>
  </si>
  <si>
    <t>14/27</t>
  </si>
  <si>
    <t>4/19</t>
  </si>
  <si>
    <t>5</t>
  </si>
  <si>
    <t>27</t>
  </si>
  <si>
    <t>15</t>
  </si>
  <si>
    <t>3</t>
  </si>
  <si>
    <t>2</t>
  </si>
  <si>
    <t>14</t>
  </si>
  <si>
    <t>9</t>
  </si>
  <si>
    <t>5/15/27/27</t>
  </si>
  <si>
    <t>15/27/27</t>
  </si>
  <si>
    <t>15/14</t>
  </si>
  <si>
    <t>5/15</t>
  </si>
  <si>
    <t>Bicip II Magnum Lite/Cinch ATZ Lite</t>
  </si>
  <si>
    <t>5/27/15</t>
  </si>
  <si>
    <t>4/15/27</t>
  </si>
  <si>
    <t>2/4/15</t>
  </si>
  <si>
    <t>27/15</t>
  </si>
  <si>
    <t>Enlist One</t>
  </si>
  <si>
    <t>Enlist Duo</t>
  </si>
  <si>
    <t>4</t>
  </si>
  <si>
    <t>4/9</t>
  </si>
  <si>
    <t>6</t>
  </si>
  <si>
    <t>Custom Application</t>
  </si>
  <si>
    <t>Land Rent</t>
  </si>
  <si>
    <t>Broadaxe XC</t>
  </si>
  <si>
    <t>Command 3ME</t>
  </si>
  <si>
    <t>13</t>
  </si>
  <si>
    <t>Dual Magnum/Everprex/Parallel</t>
  </si>
  <si>
    <t>Firstrate</t>
  </si>
  <si>
    <t>Lorox/Linex</t>
  </si>
  <si>
    <t>7</t>
  </si>
  <si>
    <t>Metribuzin</t>
  </si>
  <si>
    <t>Prowl H20/Prowl</t>
  </si>
  <si>
    <t>Sonalan (PPI Only)</t>
  </si>
  <si>
    <t>Spartan</t>
  </si>
  <si>
    <t>Trifluralin (PPI Only)</t>
  </si>
  <si>
    <t>Valor/Valor EZ/Rowel</t>
  </si>
  <si>
    <t>Afforia</t>
  </si>
  <si>
    <t>2/2/14</t>
  </si>
  <si>
    <t>Authority Assist</t>
  </si>
  <si>
    <t>2/14</t>
  </si>
  <si>
    <t>Authority First/Sonic</t>
  </si>
  <si>
    <t>Authority Maxx</t>
  </si>
  <si>
    <t>Authority MTZ</t>
  </si>
  <si>
    <t>5/14</t>
  </si>
  <si>
    <t>Authority XL</t>
  </si>
  <si>
    <t>Canopy/Canopy Blend</t>
  </si>
  <si>
    <t>Envive</t>
  </si>
  <si>
    <t>Fierce XLT</t>
  </si>
  <si>
    <t>2/14/15</t>
  </si>
  <si>
    <t>Flexstar GT 3.5</t>
  </si>
  <si>
    <t>9/14</t>
  </si>
  <si>
    <t>Prefix</t>
  </si>
  <si>
    <t>Spartan Charge</t>
  </si>
  <si>
    <t>14/14</t>
  </si>
  <si>
    <t>Surveil</t>
  </si>
  <si>
    <t>Synchrony XP</t>
  </si>
  <si>
    <t>Trivence</t>
  </si>
  <si>
    <t>2/5/14</t>
  </si>
  <si>
    <t>Valor XLT/Rowl FX</t>
  </si>
  <si>
    <t>Warrant Ultra</t>
  </si>
  <si>
    <t>Zidua Pro</t>
  </si>
  <si>
    <t>Assure II/Targa</t>
  </si>
  <si>
    <t>Classic</t>
  </si>
  <si>
    <t>Cobra</t>
  </si>
  <si>
    <t>Flexstar</t>
  </si>
  <si>
    <t>Fusilade DX</t>
  </si>
  <si>
    <t>Fusion</t>
  </si>
  <si>
    <t>Harmony SG</t>
  </si>
  <si>
    <t>Marvel</t>
  </si>
  <si>
    <t>Phoenix</t>
  </si>
  <si>
    <t>Poast/Poast Plus</t>
  </si>
  <si>
    <t>Pursuit</t>
  </si>
  <si>
    <t>Raptor</t>
  </si>
  <si>
    <t>Select Max/Arrow/Select</t>
  </si>
  <si>
    <t>Ultra Blazer</t>
  </si>
  <si>
    <t>Liberty/Cheetah</t>
  </si>
  <si>
    <t>Cheetah Max</t>
  </si>
  <si>
    <t>Engenia</t>
  </si>
  <si>
    <t>Xtendimax/Fexapan</t>
  </si>
  <si>
    <t>10</t>
  </si>
  <si>
    <t>10/14</t>
  </si>
  <si>
    <t>2,4-D Amine</t>
  </si>
  <si>
    <t>2,4-D Ester</t>
  </si>
  <si>
    <t>Affinity Broadspec</t>
  </si>
  <si>
    <t>Axial XL</t>
  </si>
  <si>
    <t>Curtail</t>
  </si>
  <si>
    <t>Express</t>
  </si>
  <si>
    <t>Harmony</t>
  </si>
  <si>
    <t>Harmony Extra</t>
  </si>
  <si>
    <t>Huskie</t>
  </si>
  <si>
    <t>MCPA</t>
  </si>
  <si>
    <t>Nimble</t>
  </si>
  <si>
    <t>Osprey</t>
  </si>
  <si>
    <t>Peak</t>
  </si>
  <si>
    <t>Powerflex HL</t>
  </si>
  <si>
    <t>Puma</t>
  </si>
  <si>
    <t>Quelex</t>
  </si>
  <si>
    <t>Starane Ultra</t>
  </si>
  <si>
    <t>Talinor</t>
  </si>
  <si>
    <t>Widematch</t>
  </si>
  <si>
    <t>1</t>
  </si>
  <si>
    <t>4/4</t>
  </si>
  <si>
    <t>6/27</t>
  </si>
  <si>
    <t>Wheat Chemicals</t>
  </si>
  <si>
    <t>Total Direct Expense</t>
  </si>
  <si>
    <t>EXPENSES</t>
  </si>
  <si>
    <t>Crop Miscellaneous</t>
  </si>
  <si>
    <t>Repair, Machinery</t>
  </si>
  <si>
    <t>Repair, Buildings</t>
  </si>
  <si>
    <t>Farm Insurance</t>
  </si>
  <si>
    <t>Crop Chemicals</t>
  </si>
  <si>
    <t>Herbicides</t>
  </si>
  <si>
    <t>Aproach SC</t>
  </si>
  <si>
    <t>Headline SC</t>
  </si>
  <si>
    <t>Evito SC</t>
  </si>
  <si>
    <t>Caramba 0.75 SL</t>
  </si>
  <si>
    <t>Folicur 3.6 F</t>
  </si>
  <si>
    <t>Proline 480 SC</t>
  </si>
  <si>
    <t>Prosaro 421 SC</t>
  </si>
  <si>
    <t>Tilt 3.6 EC</t>
  </si>
  <si>
    <t>Absolute Maxx SC</t>
  </si>
  <si>
    <t>Aproach Prima SC</t>
  </si>
  <si>
    <t>Delaro 325 SC</t>
  </si>
  <si>
    <t>Nexicor EC</t>
  </si>
  <si>
    <t>Preemptor SC</t>
  </si>
  <si>
    <t>Quilt Xcel 2.2 SE</t>
  </si>
  <si>
    <t>Trivapro SE</t>
  </si>
  <si>
    <t>Wheat Fungicides</t>
  </si>
  <si>
    <t>Soybean Fungicides</t>
  </si>
  <si>
    <t>Corn Fungicides</t>
  </si>
  <si>
    <t>Quadris 2.08 SC</t>
  </si>
  <si>
    <t>Headline 2.09 EC/SC</t>
  </si>
  <si>
    <t>Aproach 2.08 SC</t>
  </si>
  <si>
    <t>Domark 230 ME</t>
  </si>
  <si>
    <t>Trivapro A 0.83 + Trivapro B 2.2 SE</t>
  </si>
  <si>
    <t>Aproach Prima 2.34 SC</t>
  </si>
  <si>
    <t>Fortix/Preemptor 3.22 SC</t>
  </si>
  <si>
    <t>Priaxor 4.17 SC</t>
  </si>
  <si>
    <t>Headline AMP 1.68 SC</t>
  </si>
  <si>
    <t>Stratego  YLD 4.18 SC</t>
  </si>
  <si>
    <t>Affiance 1.5 SC</t>
  </si>
  <si>
    <t>Income Taxes</t>
  </si>
  <si>
    <t>Principal Payment</t>
  </si>
  <si>
    <t>Gross Revenue</t>
  </si>
  <si>
    <t>Total Gross Revenue</t>
  </si>
  <si>
    <t>Potassium (Potash)</t>
  </si>
  <si>
    <t>Limestone</t>
  </si>
  <si>
    <t>Lannate LV(oz)</t>
  </si>
  <si>
    <t>Lannate LV (lb)</t>
  </si>
  <si>
    <t>Ambush 25W</t>
  </si>
  <si>
    <t>Arctic 3.2 EC</t>
  </si>
  <si>
    <t>Asana XL</t>
  </si>
  <si>
    <t>Baythroid 2</t>
  </si>
  <si>
    <t>Baythroid XL</t>
  </si>
  <si>
    <t>Bifenture EC</t>
  </si>
  <si>
    <t>Brigade 2EC</t>
  </si>
  <si>
    <t>Capture 2EC</t>
  </si>
  <si>
    <t>Carbaryl 4L</t>
  </si>
  <si>
    <t>Chlorpyrifos 4E</t>
  </si>
  <si>
    <t>Cobalt</t>
  </si>
  <si>
    <t>Dimethoate 267</t>
  </si>
  <si>
    <t>Dimethoate 4EC and DiGon 400</t>
  </si>
  <si>
    <t>Entrust</t>
  </si>
  <si>
    <t>Intrepid 2F</t>
  </si>
  <si>
    <t>Lambda-Cy EC</t>
  </si>
  <si>
    <t>Larvin 3.2</t>
  </si>
  <si>
    <t>Leverage 2.7</t>
  </si>
  <si>
    <t>Leverage 360</t>
  </si>
  <si>
    <t>Nufos 4E</t>
  </si>
  <si>
    <t>Orthene 75S</t>
  </si>
  <si>
    <t>Orthene 90S</t>
  </si>
  <si>
    <t>Orthene 97</t>
  </si>
  <si>
    <t>Penncap-M</t>
  </si>
  <si>
    <t>Permethrin/ Perm-Up 3.2EC</t>
  </si>
  <si>
    <t>Pounce 3.2 EC</t>
  </si>
  <si>
    <t>Proaxis</t>
  </si>
  <si>
    <t>Radiant SC</t>
  </si>
  <si>
    <t>Sevin 4 F and XLR Plus</t>
  </si>
  <si>
    <t>Lorsban 4E &amp; Advanced</t>
  </si>
  <si>
    <t>Sevin 80S and 80WSP</t>
  </si>
  <si>
    <t>Silencer</t>
  </si>
  <si>
    <t>Tracer</t>
  </si>
  <si>
    <t>Warrior</t>
  </si>
  <si>
    <t>Dimilin 25W &amp; 2L</t>
  </si>
  <si>
    <t>Pounce 25WP &amp; 3.2 EC</t>
  </si>
  <si>
    <t>Soybean Insecticides</t>
  </si>
  <si>
    <t>http://msuent.com/assets/pdf/1582SoybeanInsects10.pdf</t>
  </si>
  <si>
    <t>Dimethoate 4EC / 400 (5lb)</t>
  </si>
  <si>
    <t>Dimethoate 4EC / 400 (gal)</t>
  </si>
  <si>
    <t>Malathion ULV</t>
  </si>
  <si>
    <t>Malathion 5EC, 8F and 8 Aquamul</t>
  </si>
  <si>
    <t>Aztec 2.1G</t>
  </si>
  <si>
    <t>Aztec 4.67G</t>
  </si>
  <si>
    <t>Baythroid 2 &amp; XL</t>
  </si>
  <si>
    <t>Capture 1.15 G</t>
  </si>
  <si>
    <t xml:space="preserve">Capture LFR </t>
  </si>
  <si>
    <t>Comite</t>
  </si>
  <si>
    <t>Counter 15G</t>
  </si>
  <si>
    <t>Counter CR</t>
  </si>
  <si>
    <t>Deadline MPs 4% bait</t>
  </si>
  <si>
    <t>Dimethoate 5lb</t>
  </si>
  <si>
    <t>Empower 2</t>
  </si>
  <si>
    <t xml:space="preserve">Entrust </t>
  </si>
  <si>
    <t>Force 3G</t>
  </si>
  <si>
    <t>Fortress 5G</t>
  </si>
  <si>
    <t>Lannate LV</t>
  </si>
  <si>
    <t xml:space="preserve">Lorsban 15G </t>
  </si>
  <si>
    <t>Perm-UP 3.2 EC</t>
  </si>
  <si>
    <t>Pounce 25 WP</t>
  </si>
  <si>
    <t xml:space="preserve">Radiant SC </t>
  </si>
  <si>
    <t>Regent 4SC</t>
  </si>
  <si>
    <t xml:space="preserve">Sevin 4F and XLR Plus </t>
  </si>
  <si>
    <t>http://msuent.com/assets/pdf/1582CornInsects10.pdf</t>
  </si>
  <si>
    <t>Mustang Maxx EC &amp; EW</t>
  </si>
  <si>
    <t>Mustang Maxx EC and EW</t>
  </si>
  <si>
    <t xml:space="preserve">Break-even Yield/Acre </t>
  </si>
  <si>
    <t>Break-Even Calculations</t>
  </si>
  <si>
    <t>lbs/ton</t>
  </si>
  <si>
    <t>%/ton</t>
  </si>
  <si>
    <t>Other</t>
  </si>
  <si>
    <r>
      <t xml:space="preserve">Interest </t>
    </r>
    <r>
      <rPr>
        <sz val="10"/>
        <color theme="1"/>
        <rFont val="Calibri"/>
        <family val="2"/>
        <scheme val="minor"/>
      </rPr>
      <t>(Operating)</t>
    </r>
  </si>
  <si>
    <t>Hired Labor</t>
  </si>
  <si>
    <r>
      <t>Interest</t>
    </r>
    <r>
      <rPr>
        <sz val="10"/>
        <color theme="1"/>
        <rFont val="Calibri"/>
        <family val="2"/>
        <scheme val="minor"/>
      </rPr>
      <t xml:space="preserve"> (Term)</t>
    </r>
  </si>
  <si>
    <r>
      <t xml:space="preserve">Return Over Direct Exp </t>
    </r>
    <r>
      <rPr>
        <b/>
        <i/>
        <sz val="10"/>
        <color theme="1"/>
        <rFont val="Calibri"/>
        <family val="2"/>
        <scheme val="minor"/>
      </rPr>
      <t>(Gross Revenue - Direct Exp)</t>
    </r>
  </si>
  <si>
    <t>Government Payments</t>
  </si>
  <si>
    <t>Direct (Variable) Expenses</t>
  </si>
  <si>
    <t>Overhead (Fixed) Expenses</t>
  </si>
  <si>
    <t>Real Estate Taxes</t>
  </si>
  <si>
    <t>Total Overhead Expense</t>
  </si>
  <si>
    <t>Total Direct &amp; Overhead Expense</t>
  </si>
  <si>
    <t>Corn Silage</t>
  </si>
  <si>
    <t>Alfalfa Hay Seeding</t>
  </si>
  <si>
    <t>Variable</t>
  </si>
  <si>
    <t>Fixed</t>
  </si>
  <si>
    <t>Variable &amp; Fixed</t>
  </si>
  <si>
    <t>Other (variable)</t>
  </si>
  <si>
    <r>
      <t>Depreciation</t>
    </r>
    <r>
      <rPr>
        <sz val="10"/>
        <color theme="1"/>
        <rFont val="Calibri"/>
        <family val="2"/>
        <scheme val="minor"/>
      </rPr>
      <t xml:space="preserve"> (Economic)</t>
    </r>
  </si>
  <si>
    <t>Other (fixed)</t>
  </si>
  <si>
    <r>
      <t xml:space="preserve">Other </t>
    </r>
    <r>
      <rPr>
        <sz val="10"/>
        <color theme="1"/>
        <rFont val="Calibri"/>
        <family val="2"/>
        <scheme val="minor"/>
      </rPr>
      <t>(variable &amp; fixed)</t>
    </r>
  </si>
  <si>
    <t>Owner Withdrawal</t>
  </si>
  <si>
    <r>
      <t xml:space="preserve">Interest </t>
    </r>
    <r>
      <rPr>
        <sz val="10"/>
        <color theme="1"/>
        <rFont val="Calibri"/>
        <family val="2"/>
        <scheme val="minor"/>
      </rPr>
      <t>(Oper &amp; Term)</t>
    </r>
  </si>
  <si>
    <r>
      <t>Net Farm Income</t>
    </r>
    <r>
      <rPr>
        <b/>
        <i/>
        <sz val="10"/>
        <color theme="1"/>
        <rFont val="Calibri"/>
        <family val="2"/>
        <scheme val="minor"/>
      </rPr>
      <t xml:space="preserve"> (Gross Rev - Direct &amp; Overhead Exps)</t>
    </r>
  </si>
  <si>
    <t>Net Return (Profit) Break-even</t>
  </si>
  <si>
    <t>Machinery Lease</t>
  </si>
  <si>
    <t>Bushels</t>
  </si>
  <si>
    <t>Price Range</t>
  </si>
  <si>
    <t>from FINBIN</t>
  </si>
  <si>
    <t>Break-even $$/Bushel</t>
  </si>
  <si>
    <t>$$/Bushel</t>
  </si>
  <si>
    <t>Drying Expense</t>
  </si>
  <si>
    <t>Marketing</t>
  </si>
  <si>
    <t>$1 - $3</t>
  </si>
  <si>
    <t>$0 - $2</t>
  </si>
  <si>
    <t>$3 - $12</t>
  </si>
  <si>
    <t>$0 - $16</t>
  </si>
  <si>
    <t>$13 - $24</t>
  </si>
  <si>
    <t>$30 - $40</t>
  </si>
  <si>
    <t>$0 - $5</t>
  </si>
  <si>
    <t>Units/Pkg</t>
  </si>
  <si>
    <t>Planting Rate</t>
  </si>
  <si>
    <t>Cost/Acre</t>
  </si>
  <si>
    <t>DAP (18-46-0)</t>
  </si>
  <si>
    <t>Potash (0-0-60)</t>
  </si>
  <si>
    <t>Fertilizer Calculator</t>
  </si>
  <si>
    <t>Source</t>
  </si>
  <si>
    <t>Price/ton</t>
  </si>
  <si>
    <t>Price/lb</t>
  </si>
  <si>
    <t>Amount</t>
  </si>
  <si>
    <t>Nitrogen from Sulfur</t>
  </si>
  <si>
    <t>Potassium</t>
  </si>
  <si>
    <t>Total Fertilizer</t>
  </si>
  <si>
    <t>Extract Nitrogen Cost from Phosphate Fertilizers</t>
  </si>
  <si>
    <t>Price</t>
  </si>
  <si>
    <t>Extract Nitrogen Cost from Sulfur Fertilizers</t>
  </si>
  <si>
    <t>Seed Cost Calculator</t>
  </si>
  <si>
    <t>Nitrogen (Urea)</t>
  </si>
  <si>
    <t>Nitrogen (28%)</t>
  </si>
  <si>
    <t>Phosphorus (18-46-0)</t>
  </si>
  <si>
    <t>Nitrogen from 18-46-0</t>
  </si>
  <si>
    <t>Nitrogen from 11-52-0</t>
  </si>
  <si>
    <t>Product</t>
  </si>
  <si>
    <t>Price/Ton</t>
  </si>
  <si>
    <t>Urea (46-0-0)</t>
  </si>
  <si>
    <t>MAP (11-52-0)</t>
  </si>
  <si>
    <t>Phosphorus (11-52-0)</t>
  </si>
  <si>
    <t xml:space="preserve">Price/Unit </t>
  </si>
  <si>
    <t>(lb or gal)</t>
  </si>
  <si>
    <t>Total</t>
  </si>
  <si>
    <t>Applied Rate</t>
  </si>
  <si>
    <t>Chemical Calculator</t>
  </si>
  <si>
    <t>Units/Acre</t>
  </si>
  <si>
    <t>Pounds</t>
  </si>
  <si>
    <t>Package Price</t>
  </si>
  <si>
    <t>pints</t>
  </si>
  <si>
    <t>ounces (lb.)</t>
  </si>
  <si>
    <t>ounces (gal)</t>
  </si>
  <si>
    <t>quart</t>
  </si>
  <si>
    <t>none</t>
  </si>
  <si>
    <t>K</t>
  </si>
  <si>
    <t>Bushels/Acre</t>
  </si>
  <si>
    <t>2026 Projected Cost of Production</t>
  </si>
  <si>
    <t>5-Year Average</t>
  </si>
  <si>
    <r>
      <t xml:space="preserve">Base expenses (above) in </t>
    </r>
    <r>
      <rPr>
        <b/>
        <i/>
        <sz val="11"/>
        <color rgb="FF0070C0"/>
        <rFont val="Calibri"/>
        <family val="2"/>
        <scheme val="minor"/>
      </rPr>
      <t>blue</t>
    </r>
    <r>
      <rPr>
        <i/>
        <sz val="11"/>
        <color theme="1"/>
        <rFont val="Calibri"/>
        <family val="2"/>
        <scheme val="minor"/>
      </rPr>
      <t xml:space="preserve"> are averages from FINBIN data from Michigan, Minnesota, Ohio, and Wisconsin</t>
    </r>
  </si>
  <si>
    <r>
      <t xml:space="preserve">All entries in </t>
    </r>
    <r>
      <rPr>
        <b/>
        <i/>
        <sz val="11"/>
        <color rgb="FF0070C0"/>
        <rFont val="Calibri"/>
        <family val="2"/>
        <scheme val="minor"/>
      </rPr>
      <t>blue</t>
    </r>
    <r>
      <rPr>
        <i/>
        <sz val="11"/>
        <color theme="1"/>
        <rFont val="Calibri"/>
        <family val="2"/>
        <scheme val="minor"/>
      </rPr>
      <t xml:space="preserve"> may be edited in Excel budget file</t>
    </r>
  </si>
  <si>
    <t>Nitrogen (ATS)</t>
  </si>
  <si>
    <t>Sulfur (AMS)</t>
  </si>
  <si>
    <t>Sulfur (ATS)</t>
  </si>
  <si>
    <t>ATS (12-0-0-26S)</t>
  </si>
  <si>
    <t>AMS (21-0-0-24S)</t>
  </si>
  <si>
    <t>Manure Calculator</t>
  </si>
  <si>
    <t>Manure (Solid)</t>
  </si>
  <si>
    <t>Days of Incorporation %</t>
  </si>
  <si>
    <t>0-1 days</t>
  </si>
  <si>
    <t>←Incorporation Adjustment</t>
  </si>
  <si>
    <t>Manure (Liquid)</t>
  </si>
  <si>
    <t>&gt;7 days</t>
  </si>
  <si>
    <t>Fertilizer Products &amp; Pricing</t>
  </si>
  <si>
    <t>Days Before Incorporation</t>
  </si>
  <si>
    <t>Retention Factor</t>
  </si>
  <si>
    <t>Manure (solid)</t>
  </si>
  <si>
    <t>----</t>
  </si>
  <si>
    <t>Factor</t>
  </si>
  <si>
    <t>Sulfur</t>
  </si>
  <si>
    <t>2-3 days</t>
  </si>
  <si>
    <t>Manure (liquid)</t>
  </si>
  <si>
    <t>4-7 days</t>
  </si>
  <si>
    <r>
      <t xml:space="preserve">N </t>
    </r>
    <r>
      <rPr>
        <i/>
        <sz val="12"/>
        <color theme="1"/>
        <rFont val="Calibri"/>
        <family val="2"/>
        <scheme val="minor"/>
      </rPr>
      <t>(fall)</t>
    </r>
  </si>
  <si>
    <r>
      <t xml:space="preserve">N </t>
    </r>
    <r>
      <rPr>
        <i/>
        <sz val="12"/>
        <color theme="1"/>
        <rFont val="Calibri"/>
        <family val="2"/>
        <scheme val="minor"/>
      </rPr>
      <t>(spring)</t>
    </r>
  </si>
  <si>
    <t>$2 - $7</t>
  </si>
  <si>
    <t>$35 - $45</t>
  </si>
  <si>
    <r>
      <t xml:space="preserve">Depreciation </t>
    </r>
    <r>
      <rPr>
        <sz val="12"/>
        <color theme="1"/>
        <rFont val="Calibri"/>
        <family val="2"/>
        <scheme val="minor"/>
      </rPr>
      <t>(Machinery &amp; Buildings)</t>
    </r>
  </si>
  <si>
    <r>
      <t xml:space="preserve">Interest </t>
    </r>
    <r>
      <rPr>
        <sz val="12"/>
        <color theme="1"/>
        <rFont val="Calibri"/>
        <family val="2"/>
        <scheme val="minor"/>
      </rPr>
      <t>(Term)</t>
    </r>
  </si>
  <si>
    <r>
      <t xml:space="preserve">Interest </t>
    </r>
    <r>
      <rPr>
        <sz val="12"/>
        <color theme="1"/>
        <rFont val="Calibri"/>
        <family val="2"/>
        <scheme val="minor"/>
      </rPr>
      <t>(Operating)</t>
    </r>
  </si>
  <si>
    <t>Example: Solid Manure Analysis</t>
  </si>
  <si>
    <t>Example: Liquid Manure Analysis</t>
  </si>
  <si>
    <t>Enter Expense</t>
  </si>
  <si>
    <t>*Note: Input manure values based on nutrient analysis and set days from application to soil incorporation.</t>
  </si>
  <si>
    <t>(Select Below)</t>
  </si>
  <si>
    <t>(Enter --&gt;)</t>
  </si>
  <si>
    <t>Manure liquid)</t>
  </si>
  <si>
    <t>1,000 Gallons</t>
  </si>
  <si>
    <t>Tons</t>
  </si>
  <si>
    <t>per ton</t>
  </si>
  <si>
    <t>per 1,000 gals</t>
  </si>
  <si>
    <t>Soybeans</t>
  </si>
  <si>
    <t xml:space="preserve">N </t>
  </si>
  <si>
    <t>Soybean Unit Price (i.e. Bag)</t>
  </si>
  <si>
    <t>Nitrogen from 10-34-0</t>
  </si>
  <si>
    <t>Phosphorus (10-34-0)</t>
  </si>
  <si>
    <t>Liberty Ultra</t>
  </si>
  <si>
    <t>Boundary (Generic)</t>
  </si>
  <si>
    <t>K-Mag (0-0-22-11Mg-21S)</t>
  </si>
  <si>
    <t>APP (10-34-0)</t>
  </si>
  <si>
    <t>Gypsum (0-0-0-17S-21Ca)</t>
  </si>
  <si>
    <t>AMS</t>
  </si>
  <si>
    <t>ATS</t>
  </si>
  <si>
    <t>AgLime</t>
  </si>
  <si>
    <t>For a more detailed budget analysis, visit:</t>
  </si>
  <si>
    <t>For a more detailed fertilizer plan, visit:</t>
  </si>
  <si>
    <t>Fertilizer Cost Comparison Tool for Field Crops</t>
  </si>
  <si>
    <t>Crop Budget Estimator Tool for Grains (Detailed)</t>
  </si>
  <si>
    <t>$54 - $61</t>
  </si>
  <si>
    <t>$19 - $45</t>
  </si>
  <si>
    <t>$41 - $64</t>
  </si>
  <si>
    <t>$17 - $28</t>
  </si>
  <si>
    <t>$8 - $13</t>
  </si>
  <si>
    <t>$3 - $6</t>
  </si>
  <si>
    <t>$12 - $20</t>
  </si>
  <si>
    <t>$6 - $12</t>
  </si>
  <si>
    <t>$0 - $3</t>
  </si>
  <si>
    <t>$0 - $8</t>
  </si>
  <si>
    <t>$90 - $220</t>
  </si>
  <si>
    <t>Soybean Cash Price</t>
  </si>
  <si>
    <t>Expected Soybean Yield</t>
  </si>
  <si>
    <t>Cobra @ R1 (for White Mold)</t>
  </si>
  <si>
    <t>Weed Control</t>
  </si>
  <si>
    <t>Disease &amp; Insect Control</t>
  </si>
  <si>
    <t>Non-Ionic Surfactant</t>
  </si>
  <si>
    <t>Other Adjuvants</t>
  </si>
  <si>
    <t>Roundup PowerMax 3</t>
  </si>
  <si>
    <t>Note: All products listed in projected budget are for example purposes only and not considered an endorsement by Michigan State University.</t>
  </si>
  <si>
    <t>Michigan State University Extension</t>
  </si>
  <si>
    <t>1)</t>
  </si>
  <si>
    <t>-</t>
  </si>
  <si>
    <t>2)</t>
  </si>
  <si>
    <t>3)</t>
  </si>
  <si>
    <t>2026 Soybean Projected Cost of Production</t>
  </si>
  <si>
    <t>Base Projection</t>
  </si>
  <si>
    <t>Push Production</t>
  </si>
  <si>
    <t>Provides an example of a farm with a 50-bushel yield goal. Nutrient levels based on an example soil test from Michigan State University. Highlights potential costs if soil levels indicate nutrient build-up is needed.</t>
  </si>
  <si>
    <t>Required information: Product costs per unit (i.e., tons) and application rates</t>
  </si>
  <si>
    <t>Highlighted decision areas for more accurate, detailed costs based on actual or planned input purchases.</t>
  </si>
  <si>
    <t>Required information: Products to be used, product costs per unit (i.e., gallon), and application rates</t>
  </si>
  <si>
    <t>Note: Drop down menu is available for calculating application rate costs</t>
  </si>
  <si>
    <r>
      <t xml:space="preserve">Irrigation, Energy </t>
    </r>
    <r>
      <rPr>
        <sz val="12"/>
        <color theme="1"/>
        <rFont val="Calibri"/>
        <family val="2"/>
        <scheme val="minor"/>
      </rPr>
      <t>(Diesel, Electric, etc.)</t>
    </r>
  </si>
  <si>
    <t>Irrigation, Repair</t>
  </si>
  <si>
    <t>$22 - $36</t>
  </si>
  <si>
    <t>$20 - $30</t>
  </si>
  <si>
    <t>Build-Up</t>
  </si>
  <si>
    <t>Dual II Magnum</t>
  </si>
  <si>
    <t>Endura @ R3</t>
  </si>
  <si>
    <t>MSO for Cobra</t>
  </si>
  <si>
    <t>Note: Example fertilizer rates based on Michigan State University example soil test. Example fertilizer products and their application values are for demonstration purposes only.  Yields are not guaranteed with fertilizer applications and should consider soil type and environmental factors. For best results, farms are recommended to base fertilizer applications on up-to-date soil test results for most nutrients.</t>
  </si>
  <si>
    <t>Example Soil Test from Michigan State University</t>
  </si>
  <si>
    <t>County:</t>
  </si>
  <si>
    <t>Soil:</t>
  </si>
  <si>
    <t>Soil Type:</t>
  </si>
  <si>
    <t>Soil pH:</t>
  </si>
  <si>
    <t>Target pH:</t>
  </si>
  <si>
    <t>Soil P Lvl:</t>
  </si>
  <si>
    <t>Soil K Lvl:</t>
  </si>
  <si>
    <t>Magnesium Lvl:</t>
  </si>
  <si>
    <t>Calcium:</t>
  </si>
  <si>
    <t>CEC (meg/100 g):</t>
  </si>
  <si>
    <t>% of Exchangeable Bases</t>
  </si>
  <si>
    <t>Mg</t>
  </si>
  <si>
    <t>Ca</t>
  </si>
  <si>
    <t>Organic Matter %</t>
  </si>
  <si>
    <t>Recommendations</t>
  </si>
  <si>
    <t>Phosphate</t>
  </si>
  <si>
    <t>(lb N/A)</t>
  </si>
  <si>
    <t>Limestone Rate:</t>
  </si>
  <si>
    <t>Note: Example fertilizer rates based on Tri-State Fertilizer Recommendations bulletin.  Example fertilizer products and their application values are for demonstration purposes only.  Yields are not guaranteed with fertilizer applications and should consider soil type and environmental factors. For best results, farms are recommended to base fertilizer applications on up-to-date soil test results for most nutrients.</t>
  </si>
  <si>
    <t>Lime Index:</t>
  </si>
  <si>
    <t>22 ppm</t>
  </si>
  <si>
    <t>21 ppm</t>
  </si>
  <si>
    <t>184 ppm</t>
  </si>
  <si>
    <t>1828 ppm</t>
  </si>
  <si>
    <t>1.4 ton/A</t>
  </si>
  <si>
    <t>Acknowledgements:</t>
  </si>
  <si>
    <t xml:space="preserve">Template by: </t>
  </si>
  <si>
    <t>Eric Anderson, Soybean Educator</t>
  </si>
  <si>
    <t>Jon LaPorte, Farm Business Management Educator</t>
  </si>
  <si>
    <t>Any example budget can be used to create a projected budget for an individual farm.</t>
  </si>
  <si>
    <r>
      <t xml:space="preserve">Only items that are colored in </t>
    </r>
    <r>
      <rPr>
        <b/>
        <sz val="11"/>
        <color theme="4" tint="-0.249977111117893"/>
        <rFont val="Calibri"/>
        <family val="2"/>
        <scheme val="minor"/>
      </rPr>
      <t>BLUE</t>
    </r>
    <r>
      <rPr>
        <sz val="11"/>
        <color theme="1"/>
        <rFont val="Calibri"/>
        <family val="2"/>
        <scheme val="minor"/>
      </rPr>
      <t xml:space="preserve"> are accessible to be altered.  </t>
    </r>
  </si>
  <si>
    <t>For questions, contact: laportej@msu.edu or eander32@msu.edu</t>
  </si>
  <si>
    <t>Thank you to Erin Burns, Marty Chilvers, Chris DiFonzo, Maninder Singh, Christy Sprague, and Kurt Steinke for providing their expertise and resources towards the tool development.</t>
  </si>
  <si>
    <t>Required information: Seed cost per bag, seeds per bag, and planting population</t>
  </si>
  <si>
    <t>Additional Tools &amp; Notes on Example Products/Rates</t>
  </si>
  <si>
    <t xml:space="preserve">Provides an example of a farm with a 50-bushel yield goal.  Nutrient levels based on nutrient removal for P &amp; K per recommendations from the Tri-State Fertilizer Recommendations bulletin. </t>
  </si>
  <si>
    <t>Note: Nitrogen inclusion is only due to 10-34-0 being chosen as the example product. Nitrogen is not a recommended nutrient for soybeans.</t>
  </si>
  <si>
    <t xml:space="preserve">Provides an example of a farm with a 75-bushel yield goal.  Nutrient levels based on nutrient removal for P &amp; K per recommendations from the Tri-State Fertilizer Recommendations bulletin. </t>
  </si>
  <si>
    <t>For more information:</t>
  </si>
  <si>
    <t>Bulletin 974: Tri-State Fertilizer Recommendations &amp; Other Resources</t>
  </si>
  <si>
    <t>Note: Nitrogen not a recommended nutrient for soybeans</t>
  </si>
  <si>
    <t>There are three projections included in this file for soybean acres.</t>
  </si>
  <si>
    <t>Activity</t>
  </si>
  <si>
    <t>Rate</t>
  </si>
  <si>
    <t>Trips/Season</t>
  </si>
  <si>
    <t>**Scouting rate is based on a seasonal rate that includes weekly trips.  Some agriculture companies offer a rate/trip.  The "trip/season" option is provided for farms that wish to input these values.</t>
  </si>
  <si>
    <r>
      <t xml:space="preserve">Scouting </t>
    </r>
    <r>
      <rPr>
        <i/>
        <sz val="12"/>
        <color theme="1"/>
        <rFont val="Calibri"/>
        <family val="2"/>
        <scheme val="minor"/>
      </rPr>
      <t>(see note**)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</si>
</sst>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color theme="1"/>
      <name val="Calibri"/>
      <family val="2"/>
      <scheme val="minor"/>
    </font>
    <font>
      <sz val="14"/>
      <color theme="1"/>
      <name val="Calibri"/>
      <family val="2"/>
      <scheme val="minor"/>
    </font>
    <font>
      <b/>
      <sz val="14"/>
      <name val="Calibri"/>
      <family val="2"/>
      <scheme val="minor"/>
    </font>
    <font>
      <sz val="14"/>
      <color rgb="FFFF0000"/>
      <name val="Calibri"/>
      <family val="2"/>
      <scheme val="minor"/>
    </font>
    <font>
      <sz val="14"/>
      <name val="Calibri"/>
      <family val="2"/>
      <scheme val="minor"/>
    </font>
    <font>
      <b/>
      <sz val="20"/>
      <color theme="0"/>
      <name val="Calibri"/>
      <family val="2"/>
      <scheme val="minor"/>
    </font>
    <font>
      <b/>
      <sz val="14"/>
      <color theme="0"/>
      <name val="Calibri"/>
      <family val="2"/>
      <scheme val="minor"/>
    </font>
    <font>
      <b/>
      <sz val="16"/>
      <color theme="0"/>
      <name val="Calibri"/>
      <family val="2"/>
      <scheme val="minor"/>
    </font>
    <font>
      <i/>
      <sz val="12"/>
      <color theme="1"/>
      <name val="Calibri"/>
      <family val="2"/>
      <scheme val="minor"/>
    </font>
    <font>
      <sz val="12"/>
      <color theme="4" tint="-0.249977111117893"/>
      <name val="Calibri"/>
      <family val="2"/>
      <scheme val="minor"/>
    </font>
    <font>
      <u/>
      <sz val="11"/>
      <color theme="10"/>
      <name val="Calibri"/>
      <family val="2"/>
      <scheme val="minor"/>
    </font>
    <font>
      <b/>
      <i/>
      <sz val="10"/>
      <color theme="1"/>
      <name val="Calibri"/>
      <family val="2"/>
      <scheme val="minor"/>
    </font>
    <font>
      <sz val="8"/>
      <color theme="4" tint="-0.249977111117893"/>
      <name val="Calibri"/>
      <family val="2"/>
      <scheme val="minor"/>
    </font>
    <font>
      <b/>
      <sz val="14"/>
      <color theme="4" tint="-0.249977111117893"/>
      <name val="Calibri"/>
      <family val="2"/>
      <scheme val="minor"/>
    </font>
    <font>
      <sz val="14"/>
      <color theme="4" tint="-0.249977111117893"/>
      <name val="Calibri"/>
      <family val="2"/>
      <scheme val="minor"/>
    </font>
    <font>
      <i/>
      <sz val="14"/>
      <color theme="1"/>
      <name val="Calibri"/>
      <family val="2"/>
      <scheme val="minor"/>
    </font>
    <font>
      <i/>
      <sz val="14"/>
      <name val="Calibri"/>
      <family val="2"/>
      <scheme val="minor"/>
    </font>
    <font>
      <b/>
      <i/>
      <sz val="14"/>
      <color theme="1"/>
      <name val="Calibri"/>
      <family val="2"/>
      <scheme val="minor"/>
    </font>
    <font>
      <b/>
      <i/>
      <sz val="14"/>
      <name val="Calibri"/>
      <family val="2"/>
      <scheme val="minor"/>
    </font>
    <font>
      <sz val="11"/>
      <color theme="4" tint="-0.249977111117893"/>
      <name val="Calibri"/>
      <family val="2"/>
      <scheme val="minor"/>
    </font>
    <font>
      <i/>
      <sz val="12"/>
      <name val="Calibri"/>
      <family val="2"/>
      <scheme val="minor"/>
    </font>
    <font>
      <i/>
      <sz val="11"/>
      <color theme="1"/>
      <name val="Calibri"/>
      <family val="2"/>
      <scheme val="minor"/>
    </font>
    <font>
      <i/>
      <sz val="11"/>
      <name val="Calibri"/>
      <family val="2"/>
      <scheme val="minor"/>
    </font>
    <font>
      <sz val="11"/>
      <name val="Calibri"/>
      <family val="2"/>
      <scheme val="minor"/>
    </font>
    <font>
      <b/>
      <sz val="14"/>
      <color rgb="FF0070C0"/>
      <name val="Calibri"/>
      <family val="2"/>
      <scheme val="minor"/>
    </font>
    <font>
      <i/>
      <sz val="11"/>
      <color theme="0"/>
      <name val="Calibri"/>
      <family val="2"/>
      <scheme val="minor"/>
    </font>
    <font>
      <b/>
      <i/>
      <sz val="11"/>
      <color rgb="FF0070C0"/>
      <name val="Calibri"/>
      <family val="2"/>
      <scheme val="minor"/>
    </font>
    <font>
      <sz val="8"/>
      <name val="Calibri"/>
      <family val="2"/>
      <scheme val="minor"/>
    </font>
    <font>
      <b/>
      <u/>
      <sz val="14"/>
      <color theme="10"/>
      <name val="Calibri"/>
      <family val="2"/>
      <scheme val="minor"/>
    </font>
    <font>
      <b/>
      <sz val="12"/>
      <color theme="0"/>
      <name val="Calibri"/>
      <family val="2"/>
      <scheme val="minor"/>
    </font>
    <font>
      <b/>
      <i/>
      <sz val="11"/>
      <color theme="1"/>
      <name val="Calibri"/>
      <family val="2"/>
      <scheme val="minor"/>
    </font>
    <font>
      <b/>
      <sz val="11"/>
      <color theme="4" tint="-0.249977111117893"/>
      <name val="Calibri"/>
      <family val="2"/>
      <scheme val="minor"/>
    </font>
    <font>
      <i/>
      <sz val="11"/>
      <color rgb="FF000000"/>
      <name val="Calibri"/>
      <family val="2"/>
      <scheme val="minor"/>
    </font>
    <font>
      <sz val="12"/>
      <color rgb="FF000000"/>
      <name val="Calibri"/>
      <family val="2"/>
      <scheme val="minor"/>
    </font>
    <font>
      <i/>
      <sz val="10"/>
      <color theme="1"/>
      <name val="Calibri"/>
      <family val="2"/>
      <scheme val="minor"/>
    </font>
    <font>
      <b/>
      <i/>
      <u/>
      <sz val="11"/>
      <color theme="10"/>
      <name val="Calibri"/>
      <family val="2"/>
      <scheme val="minor"/>
    </font>
  </fonts>
  <fills count="11">
    <fill>
      <patternFill patternType="none"/>
    </fill>
    <fill>
      <patternFill patternType="gray125"/>
    </fill>
    <fill>
      <patternFill patternType="solid">
        <fgColor rgb="FF0DB14B"/>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18453B"/>
        <bgColor indexed="64"/>
      </patternFill>
    </fill>
    <fill>
      <patternFill patternType="solid">
        <fgColor theme="2" tint="-9.9978637043366805E-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43" fontId="1" fillId="0" borderId="0" applyFont="0" applyFill="0" applyBorder="0" applyAlignment="0" applyProtection="0"/>
  </cellStyleXfs>
  <cellXfs count="276">
    <xf numFmtId="0" fontId="0" fillId="0" borderId="0" xfId="0"/>
    <xf numFmtId="44" fontId="0" fillId="0" borderId="0" xfId="0" applyNumberFormat="1"/>
    <xf numFmtId="0" fontId="3" fillId="0" borderId="0" xfId="0" applyFont="1"/>
    <xf numFmtId="2" fontId="0" fillId="0" borderId="0" xfId="0" applyNumberFormat="1"/>
    <xf numFmtId="0" fontId="0" fillId="0" borderId="0" xfId="0" applyAlignment="1">
      <alignment horizontal="center"/>
    </xf>
    <xf numFmtId="49" fontId="0" fillId="0" borderId="0" xfId="0" applyNumberFormat="1" applyAlignment="1">
      <alignment horizontal="center"/>
    </xf>
    <xf numFmtId="0" fontId="3" fillId="0" borderId="0" xfId="0" applyFont="1" applyProtection="1">
      <protection locked="0"/>
    </xf>
    <xf numFmtId="0" fontId="8" fillId="0" borderId="0" xfId="0" applyFont="1" applyProtection="1">
      <protection locked="0"/>
    </xf>
    <xf numFmtId="0" fontId="3" fillId="0" borderId="0" xfId="0" applyFont="1" applyAlignment="1" applyProtection="1">
      <alignment horizontal="center"/>
      <protection locked="0"/>
    </xf>
    <xf numFmtId="0" fontId="17" fillId="0" borderId="0" xfId="3"/>
    <xf numFmtId="0" fontId="8" fillId="0" borderId="0" xfId="0" applyFont="1"/>
    <xf numFmtId="164" fontId="3" fillId="0" borderId="0" xfId="0" applyNumberFormat="1" applyFont="1" applyAlignment="1">
      <alignment horizontal="left" vertical="center"/>
    </xf>
    <xf numFmtId="44" fontId="16" fillId="0" borderId="0" xfId="1" applyFont="1" applyFill="1" applyBorder="1" applyAlignment="1" applyProtection="1">
      <alignment horizontal="center" vertical="center"/>
      <protection locked="0"/>
    </xf>
    <xf numFmtId="44" fontId="0" fillId="0" borderId="0" xfId="0" applyNumberFormat="1" applyProtection="1">
      <protection locked="0"/>
    </xf>
    <xf numFmtId="164" fontId="15" fillId="0" borderId="0" xfId="0" applyNumberFormat="1" applyFont="1" applyAlignment="1">
      <alignment horizontal="left" vertical="center" indent="2"/>
    </xf>
    <xf numFmtId="164" fontId="7" fillId="0" borderId="0" xfId="0" applyNumberFormat="1" applyFont="1" applyAlignment="1">
      <alignment horizontal="left" vertical="center" indent="2"/>
    </xf>
    <xf numFmtId="164" fontId="7" fillId="0" borderId="0" xfId="0" applyNumberFormat="1" applyFont="1" applyAlignment="1" applyProtection="1">
      <alignment horizontal="left" vertical="center" indent="2"/>
      <protection locked="0"/>
    </xf>
    <xf numFmtId="44" fontId="11" fillId="0" borderId="0" xfId="1" applyFont="1" applyFill="1" applyBorder="1" applyAlignment="1" applyProtection="1">
      <alignment horizontal="center" vertical="center"/>
    </xf>
    <xf numFmtId="44" fontId="27" fillId="0" borderId="30" xfId="1" applyFont="1" applyFill="1" applyBorder="1" applyAlignment="1" applyProtection="1">
      <alignment horizontal="center" vertical="center"/>
    </xf>
    <xf numFmtId="44" fontId="27" fillId="0" borderId="14" xfId="1" applyFont="1" applyFill="1" applyBorder="1" applyAlignment="1" applyProtection="1">
      <alignment horizontal="center" vertical="center"/>
    </xf>
    <xf numFmtId="44" fontId="27" fillId="0" borderId="21" xfId="1" applyFont="1" applyFill="1" applyBorder="1" applyAlignment="1" applyProtection="1">
      <alignment horizontal="center" vertical="center"/>
    </xf>
    <xf numFmtId="44" fontId="23" fillId="0" borderId="0" xfId="1" applyFont="1" applyFill="1" applyBorder="1" applyAlignment="1" applyProtection="1">
      <alignment horizontal="center" vertical="center"/>
    </xf>
    <xf numFmtId="44" fontId="29" fillId="0" borderId="22" xfId="1" applyFont="1" applyFill="1" applyBorder="1" applyAlignment="1" applyProtection="1">
      <alignment horizontal="center" vertical="center"/>
    </xf>
    <xf numFmtId="44" fontId="25" fillId="0" borderId="30" xfId="1" applyFont="1" applyFill="1" applyBorder="1" applyAlignment="1" applyProtection="1">
      <alignment horizontal="center" vertical="center"/>
    </xf>
    <xf numFmtId="44" fontId="25" fillId="0" borderId="22" xfId="1" applyFont="1" applyFill="1" applyBorder="1" applyAlignment="1" applyProtection="1">
      <alignment horizontal="center" vertical="center"/>
    </xf>
    <xf numFmtId="44" fontId="25" fillId="0" borderId="21" xfId="1" applyFont="1" applyFill="1" applyBorder="1" applyAlignment="1" applyProtection="1">
      <alignment horizontal="center" vertical="center"/>
    </xf>
    <xf numFmtId="44" fontId="29" fillId="0" borderId="17" xfId="1" applyFont="1" applyFill="1" applyBorder="1" applyAlignment="1" applyProtection="1">
      <alignment horizontal="center" vertical="center"/>
    </xf>
    <xf numFmtId="8" fontId="11" fillId="0" borderId="0" xfId="0" applyNumberFormat="1" applyFont="1" applyAlignment="1">
      <alignment horizontal="center"/>
    </xf>
    <xf numFmtId="8" fontId="8" fillId="0" borderId="0" xfId="0" applyNumberFormat="1" applyFont="1" applyAlignment="1">
      <alignment horizontal="center"/>
    </xf>
    <xf numFmtId="44" fontId="11" fillId="0" borderId="4" xfId="1" applyFont="1" applyFill="1" applyBorder="1" applyAlignment="1" applyProtection="1">
      <alignment horizontal="center" vertical="center"/>
    </xf>
    <xf numFmtId="8" fontId="20" fillId="0" borderId="5" xfId="1" applyNumberFormat="1" applyFont="1" applyFill="1" applyBorder="1" applyAlignment="1" applyProtection="1">
      <alignment horizontal="center" vertical="center"/>
    </xf>
    <xf numFmtId="44" fontId="22" fillId="0" borderId="34" xfId="1" applyFont="1" applyFill="1" applyBorder="1" applyAlignment="1" applyProtection="1">
      <alignment horizontal="center" vertical="center"/>
    </xf>
    <xf numFmtId="8" fontId="23" fillId="0" borderId="5" xfId="1" applyNumberFormat="1" applyFont="1" applyFill="1" applyBorder="1" applyAlignment="1" applyProtection="1">
      <alignment horizontal="center" vertical="center"/>
    </xf>
    <xf numFmtId="44" fontId="29" fillId="0" borderId="37" xfId="1" applyFont="1" applyFill="1" applyBorder="1" applyAlignment="1" applyProtection="1">
      <alignment horizontal="center" vertical="center"/>
    </xf>
    <xf numFmtId="44" fontId="32" fillId="0" borderId="31" xfId="1" applyFont="1" applyFill="1" applyBorder="1" applyAlignment="1" applyProtection="1">
      <alignment horizontal="center" vertical="center"/>
    </xf>
    <xf numFmtId="44" fontId="20" fillId="5" borderId="11" xfId="1" applyFont="1" applyFill="1" applyBorder="1" applyAlignment="1" applyProtection="1">
      <alignment horizontal="center"/>
      <protection locked="0"/>
    </xf>
    <xf numFmtId="0" fontId="20" fillId="5" borderId="11" xfId="0" applyFont="1" applyFill="1" applyBorder="1" applyAlignment="1" applyProtection="1">
      <alignment horizontal="center"/>
      <protection locked="0"/>
    </xf>
    <xf numFmtId="0" fontId="8" fillId="0" borderId="0" xfId="0" applyFont="1" applyAlignment="1">
      <alignment horizontal="center"/>
    </xf>
    <xf numFmtId="0" fontId="26" fillId="0" borderId="0" xfId="0" applyFont="1" applyAlignment="1">
      <alignment horizontal="center"/>
    </xf>
    <xf numFmtId="164" fontId="8" fillId="0" borderId="0" xfId="0" applyNumberFormat="1" applyFont="1" applyAlignment="1">
      <alignment horizontal="center"/>
    </xf>
    <xf numFmtId="164" fontId="8" fillId="0" borderId="12" xfId="0" applyNumberFormat="1" applyFont="1" applyBorder="1" applyAlignment="1">
      <alignment horizontal="center"/>
    </xf>
    <xf numFmtId="164" fontId="8" fillId="0" borderId="7" xfId="0" applyNumberFormat="1" applyFont="1" applyBorder="1" applyAlignment="1">
      <alignment horizontal="center"/>
    </xf>
    <xf numFmtId="0" fontId="8" fillId="0" borderId="0" xfId="0" applyFont="1" applyAlignment="1" applyProtection="1">
      <alignment horizontal="center"/>
      <protection locked="0"/>
    </xf>
    <xf numFmtId="0" fontId="11" fillId="0" borderId="0" xfId="0" applyFont="1" applyAlignment="1" applyProtection="1">
      <alignment horizontal="center"/>
      <protection locked="0"/>
    </xf>
    <xf numFmtId="0" fontId="8" fillId="0" borderId="0" xfId="0" applyFont="1" applyAlignment="1">
      <alignment wrapText="1"/>
    </xf>
    <xf numFmtId="164" fontId="4" fillId="0" borderId="0" xfId="1" applyNumberFormat="1" applyFont="1" applyFill="1" applyBorder="1" applyAlignment="1" applyProtection="1">
      <alignment horizontal="center"/>
    </xf>
    <xf numFmtId="164" fontId="8" fillId="0" borderId="14" xfId="0" applyNumberFormat="1" applyFont="1" applyBorder="1" applyAlignment="1">
      <alignment horizontal="center"/>
    </xf>
    <xf numFmtId="164" fontId="4" fillId="0" borderId="0" xfId="0" applyNumberFormat="1" applyFont="1" applyProtection="1">
      <protection locked="0"/>
    </xf>
    <xf numFmtId="0" fontId="11" fillId="0" borderId="11" xfId="0" applyFont="1" applyBorder="1" applyAlignment="1" applyProtection="1">
      <alignment horizontal="center"/>
      <protection locked="0"/>
    </xf>
    <xf numFmtId="6" fontId="11" fillId="0" borderId="11" xfId="0" applyNumberFormat="1" applyFont="1" applyBorder="1" applyAlignment="1" applyProtection="1">
      <alignment horizontal="center"/>
      <protection locked="0"/>
    </xf>
    <xf numFmtId="164" fontId="11" fillId="0" borderId="11" xfId="1" applyNumberFormat="1" applyFont="1" applyFill="1" applyBorder="1" applyAlignment="1" applyProtection="1">
      <alignment horizontal="center"/>
      <protection locked="0"/>
    </xf>
    <xf numFmtId="0" fontId="11" fillId="0" borderId="0" xfId="0" applyFont="1" applyAlignment="1">
      <alignment horizontal="center"/>
    </xf>
    <xf numFmtId="2" fontId="11" fillId="0" borderId="11" xfId="0" applyNumberFormat="1" applyFont="1" applyBorder="1" applyAlignment="1" applyProtection="1">
      <alignment horizontal="center"/>
      <protection locked="0"/>
    </xf>
    <xf numFmtId="9" fontId="3" fillId="0" borderId="0" xfId="2" applyFont="1" applyAlignment="1" applyProtection="1">
      <alignment horizontal="center"/>
      <protection locked="0"/>
    </xf>
    <xf numFmtId="0" fontId="8" fillId="0" borderId="0" xfId="0" applyFont="1" applyAlignment="1">
      <alignment horizontal="center" wrapText="1"/>
    </xf>
    <xf numFmtId="49" fontId="20" fillId="5" borderId="11" xfId="0" applyNumberFormat="1" applyFont="1" applyFill="1" applyBorder="1" applyAlignment="1" applyProtection="1">
      <alignment horizontal="center"/>
      <protection locked="0"/>
    </xf>
    <xf numFmtId="165" fontId="8" fillId="0" borderId="0" xfId="0" applyNumberFormat="1" applyFont="1" applyProtection="1">
      <protection locked="0"/>
    </xf>
    <xf numFmtId="8" fontId="8" fillId="0" borderId="0" xfId="0" applyNumberFormat="1" applyFont="1" applyAlignment="1" applyProtection="1">
      <alignment horizontal="center"/>
      <protection locked="0"/>
    </xf>
    <xf numFmtId="49" fontId="0" fillId="0" borderId="0" xfId="0" applyNumberFormat="1"/>
    <xf numFmtId="0" fontId="0" fillId="0" borderId="0" xfId="0" quotePrefix="1"/>
    <xf numFmtId="0" fontId="31" fillId="5" borderId="11" xfId="0" applyFont="1" applyFill="1" applyBorder="1" applyAlignment="1" applyProtection="1">
      <alignment horizontal="center"/>
      <protection locked="0"/>
    </xf>
    <xf numFmtId="0" fontId="21" fillId="5" borderId="11" xfId="0" applyFont="1" applyFill="1" applyBorder="1" applyAlignment="1" applyProtection="1">
      <alignment horizontal="center"/>
      <protection locked="0"/>
    </xf>
    <xf numFmtId="1" fontId="3" fillId="0" borderId="11" xfId="0" applyNumberFormat="1" applyFont="1" applyBorder="1" applyAlignment="1" applyProtection="1">
      <alignment horizontal="center"/>
      <protection locked="0"/>
    </xf>
    <xf numFmtId="0" fontId="3" fillId="4" borderId="11" xfId="0" applyFont="1" applyFill="1" applyBorder="1" applyAlignment="1" applyProtection="1">
      <alignment horizontal="center"/>
      <protection locked="0"/>
    </xf>
    <xf numFmtId="44" fontId="25" fillId="0" borderId="11" xfId="1" applyFont="1" applyFill="1" applyBorder="1" applyAlignment="1" applyProtection="1">
      <alignment horizontal="center" vertical="center"/>
    </xf>
    <xf numFmtId="3" fontId="20" fillId="5" borderId="11" xfId="4" applyNumberFormat="1" applyFont="1" applyFill="1" applyBorder="1" applyAlignment="1" applyProtection="1">
      <alignment horizontal="center"/>
      <protection locked="0"/>
    </xf>
    <xf numFmtId="2" fontId="11" fillId="0" borderId="0" xfId="0" applyNumberFormat="1" applyFont="1" applyAlignment="1" applyProtection="1">
      <alignment horizontal="center"/>
      <protection locked="0"/>
    </xf>
    <xf numFmtId="0" fontId="20" fillId="5" borderId="11" xfId="0" applyFont="1" applyFill="1" applyBorder="1" applyAlignment="1" applyProtection="1">
      <alignment horizontal="left"/>
      <protection locked="0"/>
    </xf>
    <xf numFmtId="0" fontId="13" fillId="2" borderId="0" xfId="0" applyFont="1" applyFill="1" applyAlignment="1">
      <alignment horizontal="center"/>
    </xf>
    <xf numFmtId="44" fontId="31" fillId="7" borderId="11" xfId="0" applyNumberFormat="1" applyFont="1" applyFill="1" applyBorder="1" applyAlignment="1" applyProtection="1">
      <alignment horizontal="center"/>
      <protection locked="0"/>
    </xf>
    <xf numFmtId="2" fontId="31" fillId="7" borderId="11" xfId="0" applyNumberFormat="1" applyFont="1" applyFill="1" applyBorder="1" applyAlignment="1" applyProtection="1">
      <alignment horizontal="right"/>
      <protection locked="0"/>
    </xf>
    <xf numFmtId="44" fontId="31" fillId="5" borderId="11" xfId="1" applyFont="1" applyFill="1" applyBorder="1" applyAlignment="1" applyProtection="1">
      <alignment horizontal="center" vertical="center"/>
      <protection locked="0"/>
    </xf>
    <xf numFmtId="44" fontId="31" fillId="5" borderId="11" xfId="0" applyNumberFormat="1" applyFont="1" applyFill="1" applyBorder="1" applyAlignment="1" applyProtection="1">
      <alignment horizontal="center"/>
      <protection locked="0"/>
    </xf>
    <xf numFmtId="1" fontId="11" fillId="8" borderId="11" xfId="0" applyNumberFormat="1" applyFont="1" applyFill="1" applyBorder="1" applyAlignment="1">
      <alignment horizontal="right"/>
    </xf>
    <xf numFmtId="0" fontId="20" fillId="5" borderId="24" xfId="0" applyFont="1" applyFill="1" applyBorder="1" applyProtection="1">
      <protection locked="0"/>
    </xf>
    <xf numFmtId="0" fontId="20" fillId="5" borderId="23" xfId="0" applyFont="1" applyFill="1" applyBorder="1" applyProtection="1">
      <protection locked="0"/>
    </xf>
    <xf numFmtId="44" fontId="27" fillId="0" borderId="11" xfId="1" applyFont="1" applyFill="1" applyBorder="1" applyAlignment="1" applyProtection="1">
      <alignment horizontal="center" vertical="center"/>
    </xf>
    <xf numFmtId="0" fontId="36" fillId="6" borderId="0" xfId="0" applyFont="1" applyFill="1" applyAlignment="1">
      <alignment horizontal="center" vertical="center"/>
    </xf>
    <xf numFmtId="0" fontId="0" fillId="6" borderId="0" xfId="0" applyFill="1"/>
    <xf numFmtId="0" fontId="0" fillId="8" borderId="0" xfId="0" applyFill="1"/>
    <xf numFmtId="0" fontId="12" fillId="6" borderId="0" xfId="0" applyFont="1" applyFill="1" applyAlignment="1">
      <alignment vertical="center"/>
    </xf>
    <xf numFmtId="0" fontId="2" fillId="8" borderId="0" xfId="0" applyFont="1" applyFill="1" applyAlignment="1">
      <alignment horizontal="right"/>
    </xf>
    <xf numFmtId="0" fontId="37" fillId="8" borderId="0" xfId="0" applyFont="1" applyFill="1"/>
    <xf numFmtId="0" fontId="0" fillId="8" borderId="0" xfId="0" quotePrefix="1" applyFill="1" applyAlignment="1">
      <alignment horizontal="center"/>
    </xf>
    <xf numFmtId="0" fontId="0" fillId="8" borderId="0" xfId="0" applyFill="1" applyAlignment="1">
      <alignment horizontal="left" wrapText="1"/>
    </xf>
    <xf numFmtId="0" fontId="28" fillId="8" borderId="0" xfId="0" applyFont="1" applyFill="1"/>
    <xf numFmtId="0" fontId="0" fillId="9" borderId="0" xfId="0" applyFill="1"/>
    <xf numFmtId="0" fontId="0" fillId="10" borderId="0" xfId="0" applyFill="1"/>
    <xf numFmtId="0" fontId="21" fillId="0" borderId="4" xfId="0" applyFont="1" applyBorder="1" applyAlignment="1">
      <alignment vertical="center"/>
    </xf>
    <xf numFmtId="0" fontId="10" fillId="0" borderId="1" xfId="0" applyFont="1" applyBorder="1"/>
    <xf numFmtId="0" fontId="10" fillId="0" borderId="2" xfId="0" applyFont="1" applyBorder="1"/>
    <xf numFmtId="0" fontId="8" fillId="0" borderId="2" xfId="0" applyFont="1" applyBorder="1"/>
    <xf numFmtId="0" fontId="8" fillId="0" borderId="3" xfId="0" applyFont="1" applyBorder="1"/>
    <xf numFmtId="0" fontId="6" fillId="0" borderId="4" xfId="0" applyFont="1" applyBorder="1" applyAlignment="1">
      <alignment vertical="center"/>
    </xf>
    <xf numFmtId="0" fontId="6"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35" fillId="0" borderId="0" xfId="3" applyFont="1" applyProtection="1"/>
    <xf numFmtId="0" fontId="24" fillId="4" borderId="29" xfId="0" applyFont="1" applyFill="1" applyBorder="1" applyAlignment="1">
      <alignment horizontal="center" vertical="center"/>
    </xf>
    <xf numFmtId="0" fontId="4" fillId="0" borderId="12" xfId="0" applyFont="1" applyBorder="1" applyAlignment="1">
      <alignment vertical="center"/>
    </xf>
    <xf numFmtId="0" fontId="28" fillId="0" borderId="0" xfId="0" applyFont="1" applyAlignment="1">
      <alignment horizontal="center" vertical="center"/>
    </xf>
    <xf numFmtId="44" fontId="31" fillId="0" borderId="2" xfId="0" applyNumberFormat="1" applyFont="1" applyBorder="1" applyAlignment="1">
      <alignment horizontal="center"/>
    </xf>
    <xf numFmtId="8" fontId="11" fillId="0" borderId="5" xfId="0" applyNumberFormat="1" applyFont="1" applyBorder="1" applyAlignment="1">
      <alignment horizontal="center" vertical="center"/>
    </xf>
    <xf numFmtId="2" fontId="19" fillId="0" borderId="0" xfId="0" applyNumberFormat="1" applyFont="1" applyAlignment="1">
      <alignment horizontal="center"/>
    </xf>
    <xf numFmtId="0" fontId="4" fillId="4" borderId="23" xfId="0" applyFont="1" applyFill="1" applyBorder="1" applyAlignment="1">
      <alignment horizontal="center" vertical="center"/>
    </xf>
    <xf numFmtId="0" fontId="4" fillId="0" borderId="0" xfId="0" applyFont="1" applyAlignment="1">
      <alignment vertical="center"/>
    </xf>
    <xf numFmtId="166" fontId="31" fillId="0" borderId="7" xfId="0" applyNumberFormat="1" applyFont="1" applyBorder="1" applyAlignment="1">
      <alignment horizontal="right"/>
    </xf>
    <xf numFmtId="164" fontId="8" fillId="0" borderId="24" xfId="0" applyNumberFormat="1" applyFont="1" applyBorder="1" applyAlignment="1">
      <alignment horizontal="left" vertical="center"/>
    </xf>
    <xf numFmtId="164" fontId="8" fillId="0" borderId="0" xfId="0" applyNumberFormat="1" applyFont="1" applyAlignment="1">
      <alignment horizontal="center" vertical="center"/>
    </xf>
    <xf numFmtId="8" fontId="32" fillId="0" borderId="0" xfId="1" applyNumberFormat="1" applyFont="1" applyFill="1" applyBorder="1" applyAlignment="1" applyProtection="1">
      <alignment horizontal="center" vertical="center"/>
    </xf>
    <xf numFmtId="8" fontId="29" fillId="0" borderId="13" xfId="1" applyNumberFormat="1" applyFont="1" applyFill="1" applyBorder="1" applyAlignment="1" applyProtection="1">
      <alignment horizontal="center" vertical="center"/>
    </xf>
    <xf numFmtId="8" fontId="21" fillId="0" borderId="4" xfId="0" applyNumberFormat="1" applyFont="1" applyBorder="1" applyAlignment="1">
      <alignment horizontal="center" vertical="center"/>
    </xf>
    <xf numFmtId="0" fontId="8" fillId="0" borderId="24" xfId="0" applyFont="1" applyBorder="1"/>
    <xf numFmtId="0" fontId="32" fillId="0" borderId="0" xfId="0" applyFont="1" applyAlignment="1">
      <alignment horizontal="center" vertical="center"/>
    </xf>
    <xf numFmtId="0" fontId="29" fillId="0" borderId="13" xfId="0" applyFont="1" applyBorder="1" applyAlignment="1">
      <alignment horizontal="center" vertical="center"/>
    </xf>
    <xf numFmtId="8" fontId="11" fillId="0" borderId="4" xfId="0" applyNumberFormat="1" applyFont="1" applyBorder="1" applyAlignment="1">
      <alignment horizontal="center" vertical="center"/>
    </xf>
    <xf numFmtId="8" fontId="8" fillId="0" borderId="4" xfId="0" applyNumberFormat="1" applyFont="1" applyBorder="1" applyAlignment="1">
      <alignment horizontal="center" vertical="center"/>
    </xf>
    <xf numFmtId="164" fontId="8" fillId="0" borderId="13" xfId="0" applyNumberFormat="1" applyFont="1" applyBorder="1" applyAlignment="1">
      <alignment horizontal="center" vertical="center"/>
    </xf>
    <xf numFmtId="0" fontId="20" fillId="0" borderId="12" xfId="0" applyFont="1" applyBorder="1" applyAlignment="1">
      <alignment horizontal="center" vertical="center"/>
    </xf>
    <xf numFmtId="0" fontId="8" fillId="0" borderId="24" xfId="0" applyFont="1" applyBorder="1" applyAlignment="1">
      <alignment horizontal="left"/>
    </xf>
    <xf numFmtId="0" fontId="8" fillId="0" borderId="0" xfId="0" applyFont="1" applyAlignment="1">
      <alignment horizontal="left"/>
    </xf>
    <xf numFmtId="44" fontId="32" fillId="0" borderId="0" xfId="0" applyNumberFormat="1" applyFont="1" applyAlignment="1">
      <alignment horizontal="center"/>
    </xf>
    <xf numFmtId="44" fontId="29" fillId="0" borderId="13" xfId="0" applyNumberFormat="1" applyFont="1" applyBorder="1" applyAlignment="1">
      <alignment horizontal="center"/>
    </xf>
    <xf numFmtId="44" fontId="20" fillId="0" borderId="11" xfId="0" applyNumberFormat="1" applyFont="1" applyBorder="1" applyAlignment="1">
      <alignment horizontal="center"/>
    </xf>
    <xf numFmtId="8" fontId="11" fillId="0" borderId="5" xfId="0" applyNumberFormat="1" applyFont="1" applyBorder="1" applyAlignment="1">
      <alignment horizontal="center"/>
    </xf>
    <xf numFmtId="8" fontId="8" fillId="0" borderId="4" xfId="0" applyNumberFormat="1" applyFont="1" applyBorder="1" applyAlignment="1">
      <alignment horizontal="center"/>
    </xf>
    <xf numFmtId="164" fontId="8" fillId="0" borderId="12" xfId="0" applyNumberFormat="1" applyFont="1" applyBorder="1" applyAlignment="1">
      <alignment horizontal="center" vertical="center"/>
    </xf>
    <xf numFmtId="8" fontId="32" fillId="0" borderId="0" xfId="0" applyNumberFormat="1" applyFont="1" applyAlignment="1">
      <alignment horizontal="center" vertical="center"/>
    </xf>
    <xf numFmtId="8" fontId="29" fillId="0" borderId="0" xfId="0" applyNumberFormat="1" applyFont="1" applyAlignment="1">
      <alignment horizontal="center" vertical="center"/>
    </xf>
    <xf numFmtId="8" fontId="20" fillId="0" borderId="35" xfId="0" applyNumberFormat="1" applyFont="1" applyBorder="1" applyAlignment="1">
      <alignment horizontal="center" vertical="center"/>
    </xf>
    <xf numFmtId="164" fontId="8" fillId="0" borderId="27" xfId="0" applyNumberFormat="1" applyFont="1" applyBorder="1" applyAlignment="1">
      <alignment horizontal="left" vertical="center"/>
    </xf>
    <xf numFmtId="8" fontId="29" fillId="0" borderId="13" xfId="0" applyNumberFormat="1" applyFont="1" applyBorder="1" applyAlignment="1">
      <alignment horizontal="center" vertical="center"/>
    </xf>
    <xf numFmtId="8" fontId="4" fillId="0" borderId="18" xfId="0" applyNumberFormat="1" applyFont="1" applyBorder="1" applyAlignment="1">
      <alignment horizontal="center" vertical="center"/>
    </xf>
    <xf numFmtId="8" fontId="4" fillId="0" borderId="16" xfId="0" applyNumberFormat="1" applyFont="1" applyBorder="1" applyAlignment="1">
      <alignment horizontal="center" vertical="center"/>
    </xf>
    <xf numFmtId="8" fontId="9" fillId="0" borderId="4" xfId="0" applyNumberFormat="1" applyFont="1" applyBorder="1" applyAlignment="1">
      <alignment horizontal="center" vertical="center"/>
    </xf>
    <xf numFmtId="0" fontId="22" fillId="0" borderId="0" xfId="0" applyFont="1" applyAlignment="1">
      <alignment horizontal="center"/>
    </xf>
    <xf numFmtId="164" fontId="29" fillId="0" borderId="0" xfId="0" applyNumberFormat="1" applyFont="1" applyAlignment="1">
      <alignment horizontal="center" vertical="center"/>
    </xf>
    <xf numFmtId="8" fontId="8" fillId="0" borderId="0" xfId="0" applyNumberFormat="1" applyFont="1" applyAlignment="1">
      <alignment horizontal="center" vertical="center"/>
    </xf>
    <xf numFmtId="8" fontId="8" fillId="0" borderId="5" xfId="0" applyNumberFormat="1" applyFont="1" applyBorder="1" applyAlignment="1">
      <alignment horizontal="center" vertical="center"/>
    </xf>
    <xf numFmtId="9" fontId="8" fillId="0" borderId="0" xfId="0" applyNumberFormat="1" applyFont="1" applyAlignment="1">
      <alignment horizontal="center"/>
    </xf>
    <xf numFmtId="164" fontId="24" fillId="4" borderId="27" xfId="0" applyNumberFormat="1" applyFont="1" applyFill="1" applyBorder="1" applyAlignment="1">
      <alignment horizontal="center" vertical="center"/>
    </xf>
    <xf numFmtId="164" fontId="4" fillId="0" borderId="0" xfId="0" applyNumberFormat="1" applyFont="1" applyAlignment="1">
      <alignment horizontal="center" vertical="center"/>
    </xf>
    <xf numFmtId="0" fontId="15" fillId="0" borderId="0" xfId="0" applyFont="1" applyAlignment="1">
      <alignment horizontal="center" vertical="center"/>
    </xf>
    <xf numFmtId="8" fontId="26" fillId="0" borderId="0" xfId="0" applyNumberFormat="1" applyFont="1" applyAlignment="1">
      <alignment horizontal="center" vertical="center"/>
    </xf>
    <xf numFmtId="8" fontId="21" fillId="0" borderId="5" xfId="0" applyNumberFormat="1" applyFont="1" applyBorder="1" applyAlignment="1">
      <alignment horizontal="center" vertical="center"/>
    </xf>
    <xf numFmtId="0" fontId="4" fillId="4" borderId="23" xfId="0" applyFont="1" applyFill="1" applyBorder="1" applyAlignment="1">
      <alignment horizontal="center"/>
    </xf>
    <xf numFmtId="8" fontId="4" fillId="0" borderId="7" xfId="0" applyNumberFormat="1" applyFont="1" applyBorder="1" applyAlignment="1">
      <alignment horizontal="center" vertical="center"/>
    </xf>
    <xf numFmtId="8" fontId="4" fillId="0" borderId="8" xfId="0" applyNumberFormat="1" applyFont="1" applyBorder="1" applyAlignment="1">
      <alignment horizontal="center" vertical="center"/>
    </xf>
    <xf numFmtId="44" fontId="9" fillId="0" borderId="11" xfId="0" applyNumberFormat="1" applyFont="1" applyBorder="1" applyAlignment="1">
      <alignment horizontal="center"/>
    </xf>
    <xf numFmtId="0" fontId="3" fillId="0" borderId="0" xfId="0" applyFont="1" applyAlignment="1">
      <alignment horizontal="center"/>
    </xf>
    <xf numFmtId="1" fontId="8" fillId="0" borderId="0" xfId="0" applyNumberFormat="1" applyFont="1" applyAlignment="1">
      <alignment horizontal="center"/>
    </xf>
    <xf numFmtId="44" fontId="9" fillId="0" borderId="11" xfId="1" applyFont="1" applyFill="1" applyBorder="1" applyAlignment="1" applyProtection="1">
      <alignment horizontal="center" vertical="center"/>
    </xf>
    <xf numFmtId="164" fontId="8" fillId="0" borderId="0" xfId="0" applyNumberFormat="1" applyFont="1"/>
    <xf numFmtId="0" fontId="0" fillId="0" borderId="0" xfId="0" applyAlignment="1">
      <alignment vertical="center"/>
    </xf>
    <xf numFmtId="0" fontId="28" fillId="0" borderId="0" xfId="0" applyFont="1"/>
    <xf numFmtId="0" fontId="4" fillId="0" borderId="0" xfId="0" applyFont="1"/>
    <xf numFmtId="164" fontId="9" fillId="0" borderId="0" xfId="0" applyNumberFormat="1" applyFont="1" applyAlignment="1">
      <alignment horizontal="center"/>
    </xf>
    <xf numFmtId="0" fontId="28" fillId="0" borderId="0" xfId="0" applyFont="1" applyAlignment="1">
      <alignment horizontal="center"/>
    </xf>
    <xf numFmtId="0" fontId="4" fillId="4" borderId="11" xfId="0" applyFont="1" applyFill="1" applyBorder="1" applyAlignment="1">
      <alignment horizontal="center"/>
    </xf>
    <xf numFmtId="1" fontId="8" fillId="0" borderId="11" xfId="0" applyNumberFormat="1" applyFont="1" applyBorder="1" applyAlignment="1">
      <alignment horizontal="center"/>
    </xf>
    <xf numFmtId="1" fontId="22" fillId="0" borderId="0" xfId="0" applyNumberFormat="1" applyFont="1" applyAlignment="1">
      <alignment horizontal="center"/>
    </xf>
    <xf numFmtId="2" fontId="8" fillId="0" borderId="0" xfId="0" applyNumberFormat="1" applyFont="1"/>
    <xf numFmtId="49" fontId="8" fillId="0" borderId="0" xfId="0" applyNumberFormat="1" applyFont="1"/>
    <xf numFmtId="44" fontId="30" fillId="0" borderId="17" xfId="1" applyFont="1" applyFill="1" applyBorder="1" applyAlignment="1" applyProtection="1">
      <alignment horizontal="center" vertical="center"/>
    </xf>
    <xf numFmtId="0" fontId="24" fillId="0" borderId="0" xfId="0" applyFont="1"/>
    <xf numFmtId="0" fontId="22" fillId="0" borderId="0" xfId="0" applyFont="1"/>
    <xf numFmtId="164" fontId="22" fillId="0" borderId="25" xfId="0" applyNumberFormat="1" applyFont="1" applyBorder="1" applyAlignment="1">
      <alignment horizontal="left" vertical="center"/>
    </xf>
    <xf numFmtId="164" fontId="22" fillId="0" borderId="31" xfId="0" applyNumberFormat="1" applyFont="1" applyBorder="1" applyAlignment="1">
      <alignment horizontal="center" vertical="center"/>
    </xf>
    <xf numFmtId="8" fontId="23" fillId="0" borderId="34" xfId="0" applyNumberFormat="1" applyFont="1" applyBorder="1" applyAlignment="1">
      <alignment horizontal="center" vertical="center"/>
    </xf>
    <xf numFmtId="0" fontId="24" fillId="0" borderId="23" xfId="0" applyFont="1" applyBorder="1" applyAlignment="1">
      <alignment horizontal="left"/>
    </xf>
    <xf numFmtId="164" fontId="24" fillId="0" borderId="0" xfId="0" applyNumberFormat="1" applyFont="1" applyAlignment="1">
      <alignment horizontal="center" vertical="center"/>
    </xf>
    <xf numFmtId="8" fontId="15" fillId="0" borderId="38" xfId="0" applyNumberFormat="1" applyFont="1" applyBorder="1" applyAlignment="1">
      <alignment horizontal="center" vertical="center"/>
    </xf>
    <xf numFmtId="8" fontId="28" fillId="0" borderId="13" xfId="0" applyNumberFormat="1" applyFont="1" applyBorder="1" applyAlignment="1">
      <alignment horizontal="center" vertical="center"/>
    </xf>
    <xf numFmtId="8" fontId="25" fillId="0" borderId="14" xfId="0" applyNumberFormat="1" applyFont="1" applyBorder="1" applyAlignment="1">
      <alignment horizontal="center" vertical="center"/>
    </xf>
    <xf numFmtId="8" fontId="24" fillId="0" borderId="16" xfId="0" applyNumberFormat="1" applyFont="1" applyBorder="1" applyAlignment="1">
      <alignment horizontal="center" vertical="center"/>
    </xf>
    <xf numFmtId="164" fontId="4" fillId="0" borderId="24" xfId="0" applyNumberFormat="1" applyFont="1" applyBorder="1" applyAlignment="1">
      <alignment horizontal="left" vertical="center"/>
    </xf>
    <xf numFmtId="164" fontId="6" fillId="0" borderId="0" xfId="0" applyNumberFormat="1" applyFont="1" applyAlignment="1">
      <alignment horizontal="center" vertical="center"/>
    </xf>
    <xf numFmtId="164" fontId="2" fillId="0" borderId="0" xfId="0" applyNumberFormat="1" applyFont="1" applyAlignment="1">
      <alignment horizontal="center" vertical="center"/>
    </xf>
    <xf numFmtId="8" fontId="23" fillId="0" borderId="32" xfId="0" applyNumberFormat="1" applyFont="1" applyBorder="1" applyAlignment="1">
      <alignment horizontal="center" vertical="center"/>
    </xf>
    <xf numFmtId="0" fontId="4" fillId="4" borderId="28" xfId="0" applyFont="1" applyFill="1" applyBorder="1" applyAlignment="1">
      <alignment horizontal="center"/>
    </xf>
    <xf numFmtId="0" fontId="8" fillId="0" borderId="27" xfId="0" applyFont="1" applyBorder="1"/>
    <xf numFmtId="0" fontId="22" fillId="0" borderId="23" xfId="0" applyFont="1" applyBorder="1" applyAlignment="1">
      <alignment horizontal="left"/>
    </xf>
    <xf numFmtId="164" fontId="22" fillId="0" borderId="0" xfId="0" applyNumberFormat="1" applyFont="1" applyAlignment="1">
      <alignment horizontal="center" vertical="center"/>
    </xf>
    <xf numFmtId="0" fontId="22" fillId="0" borderId="25" xfId="0" applyFont="1" applyBorder="1" applyAlignment="1">
      <alignment horizontal="left"/>
    </xf>
    <xf numFmtId="0" fontId="24" fillId="0" borderId="23" xfId="0" applyFont="1" applyBorder="1"/>
    <xf numFmtId="8" fontId="29" fillId="0" borderId="38" xfId="0" applyNumberFormat="1" applyFont="1" applyBorder="1" applyAlignment="1">
      <alignment horizontal="center" vertical="center"/>
    </xf>
    <xf numFmtId="44" fontId="24" fillId="0" borderId="14" xfId="0" applyNumberFormat="1" applyFont="1" applyBorder="1" applyAlignment="1">
      <alignment horizontal="center" vertical="center"/>
    </xf>
    <xf numFmtId="0" fontId="4" fillId="0" borderId="36" xfId="0" applyFont="1" applyBorder="1" applyAlignment="1">
      <alignment horizontal="left"/>
    </xf>
    <xf numFmtId="8" fontId="4" fillId="0" borderId="0" xfId="0" applyNumberFormat="1" applyFont="1" applyAlignment="1">
      <alignment horizontal="center" vertical="center"/>
    </xf>
    <xf numFmtId="8" fontId="25" fillId="0" borderId="0" xfId="0" applyNumberFormat="1" applyFont="1" applyAlignment="1">
      <alignment horizontal="center" vertical="center"/>
    </xf>
    <xf numFmtId="8" fontId="24" fillId="0" borderId="5" xfId="0" applyNumberFormat="1" applyFont="1" applyBorder="1" applyAlignment="1">
      <alignment horizontal="center" vertical="center"/>
    </xf>
    <xf numFmtId="8" fontId="24" fillId="0" borderId="0" xfId="0" applyNumberFormat="1" applyFont="1" applyAlignment="1">
      <alignment horizontal="center" vertical="center"/>
    </xf>
    <xf numFmtId="0" fontId="13" fillId="6" borderId="4" xfId="0" applyFont="1" applyFill="1" applyBorder="1" applyAlignment="1">
      <alignment horizontal="center"/>
    </xf>
    <xf numFmtId="0" fontId="13" fillId="6" borderId="0" xfId="0" applyFont="1" applyFill="1" applyAlignment="1">
      <alignment horizontal="center"/>
    </xf>
    <xf numFmtId="0" fontId="13" fillId="6" borderId="5" xfId="0" applyFont="1" applyFill="1" applyBorder="1" applyAlignment="1">
      <alignment horizontal="center"/>
    </xf>
    <xf numFmtId="8" fontId="11" fillId="0" borderId="0" xfId="0" applyNumberFormat="1" applyFont="1" applyAlignment="1">
      <alignment horizontal="center" vertical="center"/>
    </xf>
    <xf numFmtId="0" fontId="4" fillId="0" borderId="33" xfId="0" applyFont="1" applyBorder="1" applyAlignment="1">
      <alignment horizontal="center"/>
    </xf>
    <xf numFmtId="0" fontId="4" fillId="0" borderId="0" xfId="0" applyFont="1" applyAlignment="1">
      <alignment horizontal="center" vertical="center"/>
    </xf>
    <xf numFmtId="0" fontId="8" fillId="0" borderId="0" xfId="0" applyFont="1" applyAlignment="1">
      <alignment horizontal="center" vertical="center"/>
    </xf>
    <xf numFmtId="9" fontId="13" fillId="0" borderId="5" xfId="0" applyNumberFormat="1" applyFont="1" applyBorder="1" applyAlignment="1">
      <alignment horizontal="center" vertical="center"/>
    </xf>
    <xf numFmtId="8" fontId="9" fillId="0" borderId="0" xfId="0" applyNumberFormat="1" applyFont="1" applyAlignment="1">
      <alignment horizontal="center" vertical="center"/>
    </xf>
    <xf numFmtId="0" fontId="4" fillId="0" borderId="0" xfId="0" applyFont="1" applyAlignment="1">
      <alignment horizontal="left" vertical="center"/>
    </xf>
    <xf numFmtId="9" fontId="4" fillId="0" borderId="5" xfId="0" applyNumberFormat="1" applyFont="1" applyBorder="1" applyAlignment="1">
      <alignment horizontal="center" vertical="center"/>
    </xf>
    <xf numFmtId="0" fontId="22" fillId="0" borderId="36" xfId="0" applyFont="1" applyBorder="1" applyAlignment="1">
      <alignment horizontal="center"/>
    </xf>
    <xf numFmtId="0" fontId="8" fillId="0" borderId="0" xfId="0" applyFont="1" applyAlignment="1">
      <alignment vertical="center"/>
    </xf>
    <xf numFmtId="164" fontId="15" fillId="0" borderId="0" xfId="0" applyNumberFormat="1" applyFont="1" applyAlignment="1">
      <alignment horizontal="center" vertical="center"/>
    </xf>
    <xf numFmtId="164" fontId="4" fillId="0" borderId="5" xfId="0" applyNumberFormat="1" applyFont="1" applyBorder="1" applyAlignment="1">
      <alignment horizontal="left" vertical="center"/>
    </xf>
    <xf numFmtId="0" fontId="22" fillId="0" borderId="9" xfId="0" applyFont="1" applyBorder="1" applyAlignment="1">
      <alignment horizontal="center"/>
    </xf>
    <xf numFmtId="0" fontId="8" fillId="0" borderId="10" xfId="0" applyFont="1" applyBorder="1" applyAlignment="1">
      <alignment vertical="center"/>
    </xf>
    <xf numFmtId="2" fontId="15" fillId="0" borderId="10" xfId="0" applyNumberFormat="1" applyFont="1" applyBorder="1" applyAlignment="1">
      <alignment horizontal="center" vertical="center"/>
    </xf>
    <xf numFmtId="2" fontId="4" fillId="0" borderId="10" xfId="0" applyNumberFormat="1" applyFont="1" applyBorder="1" applyAlignment="1">
      <alignment horizontal="center" vertical="center"/>
    </xf>
    <xf numFmtId="2" fontId="4" fillId="0" borderId="6" xfId="0" applyNumberFormat="1" applyFont="1" applyBorder="1" applyAlignment="1">
      <alignment horizontal="left" vertical="center"/>
    </xf>
    <xf numFmtId="0" fontId="28" fillId="0" borderId="4" xfId="0" applyFont="1" applyBorder="1"/>
    <xf numFmtId="0" fontId="8" fillId="0" borderId="4" xfId="0" applyFont="1" applyBorder="1"/>
    <xf numFmtId="0" fontId="3" fillId="0" borderId="4" xfId="0" applyFont="1" applyBorder="1" applyAlignment="1">
      <alignment horizontal="center"/>
    </xf>
    <xf numFmtId="2" fontId="4" fillId="0" borderId="0" xfId="0" applyNumberFormat="1" applyFont="1" applyAlignment="1">
      <alignment horizontal="center" vertical="center"/>
    </xf>
    <xf numFmtId="2" fontId="4" fillId="0" borderId="0" xfId="0" applyNumberFormat="1" applyFont="1" applyAlignment="1">
      <alignment horizontal="center"/>
    </xf>
    <xf numFmtId="0" fontId="8" fillId="0" borderId="9" xfId="0" applyFont="1" applyBorder="1"/>
    <xf numFmtId="0" fontId="8" fillId="0" borderId="10" xfId="0" applyFont="1" applyBorder="1"/>
    <xf numFmtId="0" fontId="13" fillId="2" borderId="0" xfId="0" applyFont="1" applyFill="1" applyAlignment="1">
      <alignment horizontal="center" vertical="center"/>
    </xf>
    <xf numFmtId="0" fontId="13" fillId="3" borderId="0" xfId="0" applyFont="1" applyFill="1" applyAlignment="1">
      <alignment horizontal="center" vertical="center"/>
    </xf>
    <xf numFmtId="1" fontId="9" fillId="0" borderId="0" xfId="0" applyNumberFormat="1" applyFont="1" applyAlignment="1">
      <alignment horizontal="center"/>
    </xf>
    <xf numFmtId="0" fontId="13" fillId="3" borderId="0" xfId="0" applyFont="1" applyFill="1" applyAlignment="1">
      <alignment horizontal="center"/>
    </xf>
    <xf numFmtId="2" fontId="9" fillId="0" borderId="0" xfId="0" applyNumberFormat="1" applyFont="1" applyAlignment="1">
      <alignment horizontal="center"/>
    </xf>
    <xf numFmtId="0" fontId="6" fillId="0" borderId="0" xfId="0" applyFont="1"/>
    <xf numFmtId="0" fontId="39" fillId="0" borderId="0" xfId="0" applyFont="1" applyAlignment="1">
      <alignment vertical="center" wrapText="1"/>
    </xf>
    <xf numFmtId="0" fontId="40" fillId="0" borderId="0" xfId="0" applyFont="1" applyAlignment="1">
      <alignment vertical="center" wrapText="1"/>
    </xf>
    <xf numFmtId="0" fontId="3" fillId="0" borderId="0" xfId="0" applyFont="1" applyAlignment="1">
      <alignment horizontal="left"/>
    </xf>
    <xf numFmtId="166" fontId="3" fillId="0" borderId="0" xfId="0" applyNumberFormat="1" applyFont="1" applyAlignment="1">
      <alignment horizontal="center"/>
    </xf>
    <xf numFmtId="0" fontId="6" fillId="0" borderId="0" xfId="0" applyFont="1" applyAlignment="1">
      <alignment horizontal="center"/>
    </xf>
    <xf numFmtId="0" fontId="28" fillId="8" borderId="0" xfId="0" applyFont="1" applyFill="1" applyAlignment="1">
      <alignment wrapText="1"/>
    </xf>
    <xf numFmtId="0" fontId="41" fillId="8" borderId="0" xfId="0" applyFont="1" applyFill="1" applyAlignment="1">
      <alignment horizontal="left" wrapText="1"/>
    </xf>
    <xf numFmtId="0" fontId="42" fillId="8" borderId="0" xfId="3" applyFont="1" applyFill="1" applyAlignment="1">
      <alignment wrapText="1"/>
    </xf>
    <xf numFmtId="0" fontId="12" fillId="6" borderId="0" xfId="0" applyFont="1" applyFill="1" applyAlignment="1">
      <alignment horizontal="center" vertical="center"/>
    </xf>
    <xf numFmtId="0" fontId="0" fillId="8" borderId="0" xfId="0" applyFill="1" applyAlignment="1">
      <alignment horizontal="left" vertical="center" wrapText="1"/>
    </xf>
    <xf numFmtId="0" fontId="28" fillId="8" borderId="0" xfId="0" applyFont="1" applyFill="1" applyAlignment="1">
      <alignment horizontal="center" wrapText="1"/>
    </xf>
    <xf numFmtId="0" fontId="37" fillId="8" borderId="0" xfId="0" applyFont="1" applyFill="1" applyAlignment="1">
      <alignment horizontal="center"/>
    </xf>
    <xf numFmtId="0" fontId="36" fillId="6" borderId="0" xfId="0" applyFont="1" applyFill="1" applyAlignment="1">
      <alignment horizontal="center" vertical="center"/>
    </xf>
    <xf numFmtId="0" fontId="0" fillId="8" borderId="0" xfId="0" applyFill="1" applyAlignment="1">
      <alignment horizontal="left" wrapText="1"/>
    </xf>
    <xf numFmtId="0" fontId="41" fillId="8" borderId="0" xfId="0" applyFont="1" applyFill="1" applyAlignment="1">
      <alignment horizontal="left" wrapText="1"/>
    </xf>
    <xf numFmtId="0" fontId="42" fillId="8" borderId="0" xfId="3" applyFont="1" applyFill="1" applyAlignment="1">
      <alignment horizontal="center" wrapText="1"/>
    </xf>
    <xf numFmtId="0" fontId="28" fillId="8" borderId="0" xfId="0" applyFont="1" applyFill="1" applyAlignment="1">
      <alignment horizontal="right"/>
    </xf>
    <xf numFmtId="0" fontId="12" fillId="6" borderId="1" xfId="0" applyFont="1" applyFill="1" applyBorder="1" applyAlignment="1">
      <alignment horizontal="right" vertical="center" indent="1"/>
    </xf>
    <xf numFmtId="0" fontId="12" fillId="6" borderId="2" xfId="0" applyFont="1" applyFill="1" applyBorder="1" applyAlignment="1">
      <alignment horizontal="right" vertical="center" indent="1"/>
    </xf>
    <xf numFmtId="0" fontId="12" fillId="6" borderId="3"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0" xfId="0" applyFont="1" applyFill="1" applyAlignment="1">
      <alignment horizontal="right" vertical="center" indent="1"/>
    </xf>
    <xf numFmtId="0" fontId="12" fillId="6" borderId="5" xfId="0" applyFont="1" applyFill="1" applyBorder="1" applyAlignment="1">
      <alignment horizontal="right" vertical="center" indent="1"/>
    </xf>
    <xf numFmtId="0" fontId="12" fillId="6" borderId="9" xfId="0" applyFont="1" applyFill="1" applyBorder="1" applyAlignment="1">
      <alignment horizontal="right" vertical="center" indent="1"/>
    </xf>
    <xf numFmtId="0" fontId="12" fillId="6" borderId="10" xfId="0" applyFont="1" applyFill="1" applyBorder="1" applyAlignment="1">
      <alignment horizontal="right" vertical="center" indent="1"/>
    </xf>
    <xf numFmtId="0" fontId="12" fillId="6" borderId="6" xfId="0" applyFont="1" applyFill="1" applyBorder="1" applyAlignment="1">
      <alignment horizontal="right" vertical="center" indent="1"/>
    </xf>
    <xf numFmtId="164" fontId="8" fillId="0" borderId="27" xfId="0" applyNumberFormat="1" applyFont="1" applyBorder="1" applyAlignment="1">
      <alignment horizontal="left" vertical="center"/>
    </xf>
    <xf numFmtId="164" fontId="8" fillId="0" borderId="26" xfId="0" applyNumberFormat="1" applyFont="1" applyBorder="1" applyAlignment="1">
      <alignment horizontal="left" vertical="center"/>
    </xf>
    <xf numFmtId="164" fontId="8" fillId="0" borderId="12" xfId="0" applyNumberFormat="1" applyFont="1" applyBorder="1" applyAlignment="1">
      <alignment horizontal="center" vertical="center"/>
    </xf>
    <xf numFmtId="164" fontId="8" fillId="0" borderId="30" xfId="0" applyNumberFormat="1" applyFont="1" applyBorder="1" applyAlignment="1">
      <alignment horizontal="center" vertical="center"/>
    </xf>
    <xf numFmtId="0" fontId="5" fillId="4" borderId="19" xfId="0" applyFont="1" applyFill="1" applyBorder="1" applyAlignment="1">
      <alignment horizontal="center" vertical="center"/>
    </xf>
    <xf numFmtId="0" fontId="5" fillId="4" borderId="15" xfId="0" applyFont="1" applyFill="1" applyBorder="1" applyAlignment="1">
      <alignment horizontal="center" vertical="center"/>
    </xf>
    <xf numFmtId="0" fontId="28" fillId="0" borderId="0" xfId="0" applyFont="1" applyAlignment="1">
      <alignment horizontal="left" wrapText="1"/>
    </xf>
    <xf numFmtId="0" fontId="8" fillId="0" borderId="0" xfId="0" applyFont="1" applyAlignment="1">
      <alignment horizontal="left" wrapText="1"/>
    </xf>
    <xf numFmtId="0" fontId="4" fillId="4" borderId="39" xfId="0" applyFont="1" applyFill="1" applyBorder="1" applyAlignment="1">
      <alignment horizontal="center"/>
    </xf>
    <xf numFmtId="0" fontId="4" fillId="4" borderId="35" xfId="0" applyFont="1" applyFill="1" applyBorder="1" applyAlignment="1">
      <alignment horizontal="center"/>
    </xf>
    <xf numFmtId="0" fontId="4" fillId="4" borderId="20" xfId="0" applyFont="1" applyFill="1" applyBorder="1" applyAlignment="1">
      <alignment horizontal="center"/>
    </xf>
    <xf numFmtId="0" fontId="39" fillId="0" borderId="0" xfId="0" applyFont="1" applyAlignment="1">
      <alignment horizontal="left" vertical="center" wrapText="1"/>
    </xf>
    <xf numFmtId="0" fontId="24" fillId="0" borderId="0" xfId="0" applyFont="1" applyAlignment="1">
      <alignment horizontal="center"/>
    </xf>
    <xf numFmtId="0" fontId="4" fillId="4" borderId="39"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20" xfId="0" applyFont="1" applyFill="1" applyBorder="1" applyAlignment="1">
      <alignment horizontal="center" vertical="center"/>
    </xf>
    <xf numFmtId="0" fontId="28" fillId="0" borderId="13" xfId="0" applyFont="1" applyBorder="1" applyAlignment="1">
      <alignment horizontal="left" wrapText="1"/>
    </xf>
    <xf numFmtId="0" fontId="6" fillId="0" borderId="0" xfId="0" applyFont="1" applyAlignment="1">
      <alignment horizontal="center"/>
    </xf>
    <xf numFmtId="0" fontId="3" fillId="0" borderId="0" xfId="0" applyFont="1" applyAlignment="1">
      <alignment horizontal="center"/>
    </xf>
    <xf numFmtId="0" fontId="8" fillId="4" borderId="39" xfId="0" applyFont="1" applyFill="1" applyBorder="1" applyAlignment="1">
      <alignment horizontal="center"/>
    </xf>
    <xf numFmtId="0" fontId="8" fillId="4" borderId="35" xfId="0" applyFont="1" applyFill="1" applyBorder="1" applyAlignment="1">
      <alignment horizontal="center"/>
    </xf>
    <xf numFmtId="0" fontId="8" fillId="4" borderId="20" xfId="0" applyFont="1" applyFill="1" applyBorder="1" applyAlignment="1">
      <alignment horizontal="center"/>
    </xf>
    <xf numFmtId="0" fontId="13" fillId="2" borderId="0" xfId="0" applyFont="1" applyFill="1" applyAlignment="1">
      <alignment horizontal="center"/>
    </xf>
    <xf numFmtId="0" fontId="14" fillId="2" borderId="0" xfId="0" applyFont="1" applyFill="1" applyAlignment="1">
      <alignment horizontal="center"/>
    </xf>
    <xf numFmtId="44" fontId="9" fillId="0" borderId="11" xfId="1" applyNumberFormat="1" applyFont="1" applyFill="1" applyBorder="1" applyAlignment="1" applyProtection="1">
      <alignment horizontal="center" vertical="center"/>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18453B"/>
      <color rgb="FFF2C400"/>
      <color rgb="FF0DB14B"/>
      <color rgb="FF63C3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161924</xdr:colOff>
      <xdr:row>0</xdr:row>
      <xdr:rowOff>88106</xdr:rowOff>
    </xdr:from>
    <xdr:to>
      <xdr:col>2</xdr:col>
      <xdr:colOff>57150</xdr:colOff>
      <xdr:row>1</xdr:row>
      <xdr:rowOff>250994</xdr:rowOff>
    </xdr:to>
    <xdr:pic>
      <xdr:nvPicPr>
        <xdr:cNvPr id="2" name="Picture 1">
          <a:extLst>
            <a:ext uri="{FF2B5EF4-FFF2-40B4-BE49-F238E27FC236}">
              <a16:creationId xmlns:a16="http://schemas.microsoft.com/office/drawing/2014/main" id="{3A370F6E-4E8F-42E7-B0D2-85C041E5B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4" y="88106"/>
          <a:ext cx="1828801" cy="353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2" name="Picture 1">
          <a:extLst>
            <a:ext uri="{FF2B5EF4-FFF2-40B4-BE49-F238E27FC236}">
              <a16:creationId xmlns:a16="http://schemas.microsoft.com/office/drawing/2014/main" id="{81D6814C-E410-4E1E-B5DD-D69F94082C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2" name="Picture 1">
          <a:extLst>
            <a:ext uri="{FF2B5EF4-FFF2-40B4-BE49-F238E27FC236}">
              <a16:creationId xmlns:a16="http://schemas.microsoft.com/office/drawing/2014/main" id="{D79199B0-0766-4957-A11B-5DBB7293FA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laportej/Documents/Field%20Corn%20(Jon)%20-%20New%20Farm.xlsx" TargetMode="External"/><Relationship Id="rId1" Type="http://schemas.openxmlformats.org/officeDocument/2006/relationships/externalLinkPath" Target="/Users/laportej/Documents/Field%20Corn%20(Jon)%20-%20New%20Fa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Profit Loss"/>
      <sheetName val="Operational"/>
      <sheetName val="Seed &amp; Chem"/>
      <sheetName val="Starter Fertilizer"/>
      <sheetName val="Fertilizer"/>
      <sheetName val="Plant Health"/>
      <sheetName val="Land"/>
      <sheetName val="Loans"/>
      <sheetName val="Fertilizer Master List"/>
      <sheetName val="Chemical Master List"/>
      <sheetName val="Product Pricing"/>
      <sheetName val="Chemical Rate Chart"/>
      <sheetName val="Grain Handling"/>
    </sheetNames>
    <sheetDataSet>
      <sheetData sheetId="0" refreshError="1"/>
      <sheetData sheetId="1">
        <row r="12">
          <cell r="F12">
            <v>145</v>
          </cell>
        </row>
      </sheetData>
      <sheetData sheetId="2"/>
      <sheetData sheetId="3"/>
      <sheetData sheetId="4"/>
      <sheetData sheetId="5"/>
      <sheetData sheetId="6"/>
      <sheetData sheetId="7"/>
      <sheetData sheetId="8"/>
      <sheetData sheetId="9">
        <row r="3">
          <cell r="A3" t="str">
            <v>None</v>
          </cell>
        </row>
      </sheetData>
      <sheetData sheetId="10">
        <row r="2">
          <cell r="A2" t="str">
            <v>None</v>
          </cell>
        </row>
      </sheetData>
      <sheetData sheetId="11">
        <row r="3">
          <cell r="M3">
            <v>7.5</v>
          </cell>
        </row>
      </sheetData>
      <sheetData sheetId="12" refreshError="1"/>
      <sheetData sheetId="13">
        <row r="51">
          <cell r="C51">
            <v>0.3</v>
          </cell>
        </row>
        <row r="52">
          <cell r="C52">
            <v>0.28999999999999998</v>
          </cell>
        </row>
        <row r="53">
          <cell r="C53">
            <v>0.28000000000000003</v>
          </cell>
        </row>
        <row r="54">
          <cell r="C54">
            <v>0.27</v>
          </cell>
        </row>
        <row r="55">
          <cell r="C55">
            <v>0.26</v>
          </cell>
        </row>
        <row r="56">
          <cell r="C56">
            <v>0.25</v>
          </cell>
        </row>
        <row r="57">
          <cell r="C57">
            <v>0.24</v>
          </cell>
        </row>
        <row r="58">
          <cell r="C58">
            <v>0.23</v>
          </cell>
        </row>
        <row r="59">
          <cell r="C59">
            <v>0.22</v>
          </cell>
        </row>
        <row r="60">
          <cell r="C60">
            <v>0.21</v>
          </cell>
        </row>
        <row r="61">
          <cell r="C61">
            <v>0.2</v>
          </cell>
        </row>
        <row r="62">
          <cell r="C62">
            <v>0.19</v>
          </cell>
        </row>
        <row r="63">
          <cell r="C63">
            <v>0.18</v>
          </cell>
        </row>
        <row r="64">
          <cell r="C64">
            <v>0.17</v>
          </cell>
        </row>
        <row r="65">
          <cell r="C65">
            <v>0.16</v>
          </cell>
        </row>
        <row r="66">
          <cell r="C66">
            <v>0.15</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msuent.com/assets/pdf/1582CornInsects10.pdf" TargetMode="External"/><Relationship Id="rId1" Type="http://schemas.openxmlformats.org/officeDocument/2006/relationships/hyperlink" Target="http://msuent.com/assets/pdf/1582SoybeanInsects10.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F8A9-DF5A-48F5-92EB-7A317007D4B0}">
  <sheetPr>
    <tabColor theme="1"/>
  </sheetPr>
  <dimension ref="A1:AY76"/>
  <sheetViews>
    <sheetView tabSelected="1" zoomScaleNormal="100" workbookViewId="0">
      <selection activeCell="A35" sqref="A35"/>
    </sheetView>
  </sheetViews>
  <sheetFormatPr defaultRowHeight="15" x14ac:dyDescent="0.25"/>
  <cols>
    <col min="2" max="2" width="19.85546875" bestFit="1" customWidth="1"/>
    <col min="3" max="3" width="3.140625" customWidth="1"/>
    <col min="4" max="4" width="12" customWidth="1"/>
    <col min="5" max="5" width="9.140625" customWidth="1"/>
    <col min="12" max="51" width="9.140625" style="79"/>
  </cols>
  <sheetData>
    <row r="1" spans="1:11" ht="15" customHeight="1" x14ac:dyDescent="0.25">
      <c r="A1" s="80"/>
      <c r="B1" s="80"/>
      <c r="C1" s="233" t="s">
        <v>533</v>
      </c>
      <c r="D1" s="233"/>
      <c r="E1" s="233"/>
      <c r="F1" s="233"/>
      <c r="G1" s="233"/>
      <c r="H1" s="233"/>
      <c r="I1" s="233"/>
      <c r="J1" s="233"/>
      <c r="K1" s="233"/>
    </row>
    <row r="2" spans="1:11" ht="26.25" x14ac:dyDescent="0.25">
      <c r="A2" s="80"/>
      <c r="B2" s="80"/>
      <c r="C2" s="233"/>
      <c r="D2" s="233"/>
      <c r="E2" s="233"/>
      <c r="F2" s="233"/>
      <c r="G2" s="233"/>
      <c r="H2" s="233"/>
      <c r="I2" s="233"/>
      <c r="J2" s="233"/>
      <c r="K2" s="233"/>
    </row>
    <row r="3" spans="1:11" ht="15.75" x14ac:dyDescent="0.25">
      <c r="A3" s="237" t="s">
        <v>577</v>
      </c>
      <c r="B3" s="237"/>
      <c r="C3" s="237"/>
      <c r="D3" s="237"/>
      <c r="E3" s="237"/>
      <c r="F3" s="237"/>
      <c r="G3" s="237"/>
      <c r="H3" s="237"/>
      <c r="I3" s="237"/>
      <c r="J3" s="237"/>
      <c r="K3" s="237"/>
    </row>
    <row r="4" spans="1:11" ht="15" customHeight="1" x14ac:dyDescent="0.25">
      <c r="A4" s="237" t="s">
        <v>579</v>
      </c>
      <c r="B4" s="237"/>
      <c r="C4" s="237"/>
      <c r="D4" s="237"/>
      <c r="E4" s="237"/>
      <c r="F4" s="237"/>
      <c r="G4" s="237"/>
      <c r="H4" s="237"/>
      <c r="I4" s="237"/>
      <c r="J4" s="237"/>
      <c r="K4" s="237"/>
    </row>
    <row r="5" spans="1:11" ht="15" customHeight="1" x14ac:dyDescent="0.25">
      <c r="A5" s="237" t="s">
        <v>578</v>
      </c>
      <c r="B5" s="237"/>
      <c r="C5" s="237"/>
      <c r="D5" s="237"/>
      <c r="E5" s="237"/>
      <c r="F5" s="237"/>
      <c r="G5" s="237"/>
      <c r="H5" s="237"/>
      <c r="I5" s="237"/>
      <c r="J5" s="237"/>
      <c r="K5" s="237"/>
    </row>
    <row r="6" spans="1:11" ht="15" customHeight="1" x14ac:dyDescent="0.25">
      <c r="A6" s="237" t="s">
        <v>528</v>
      </c>
      <c r="B6" s="237"/>
      <c r="C6" s="237"/>
      <c r="D6" s="237"/>
      <c r="E6" s="237"/>
      <c r="F6" s="237"/>
      <c r="G6" s="237"/>
      <c r="H6" s="237"/>
      <c r="I6" s="237"/>
      <c r="J6" s="237"/>
      <c r="K6" s="237"/>
    </row>
    <row r="7" spans="1:11" ht="15" customHeight="1" x14ac:dyDescent="0.25">
      <c r="A7" s="237" t="s">
        <v>582</v>
      </c>
      <c r="B7" s="237"/>
      <c r="C7" s="237"/>
      <c r="D7" s="237"/>
      <c r="E7" s="237"/>
      <c r="F7" s="237"/>
      <c r="G7" s="237"/>
      <c r="H7" s="237"/>
      <c r="I7" s="237"/>
      <c r="J7" s="237"/>
      <c r="K7" s="237"/>
    </row>
    <row r="8" spans="1:11" ht="15" customHeight="1" x14ac:dyDescent="0.25">
      <c r="A8" s="77"/>
      <c r="B8" s="77"/>
      <c r="C8" s="77"/>
      <c r="D8" s="77"/>
      <c r="E8" s="77"/>
      <c r="F8" s="77"/>
      <c r="G8" s="77"/>
      <c r="H8" s="77"/>
      <c r="I8" s="77"/>
      <c r="J8" s="77"/>
      <c r="K8" s="77"/>
    </row>
    <row r="9" spans="1:11" x14ac:dyDescent="0.25">
      <c r="A9" s="79"/>
      <c r="B9" s="79"/>
      <c r="C9" s="79"/>
      <c r="D9" s="79"/>
      <c r="E9" s="79"/>
      <c r="F9" s="79"/>
      <c r="G9" s="79"/>
      <c r="H9" s="79"/>
      <c r="I9" s="79"/>
      <c r="J9" s="79"/>
      <c r="K9" s="79"/>
    </row>
    <row r="10" spans="1:11" x14ac:dyDescent="0.25">
      <c r="A10" s="81" t="s">
        <v>529</v>
      </c>
      <c r="B10" s="79" t="s">
        <v>592</v>
      </c>
      <c r="C10" s="79"/>
      <c r="D10" s="79"/>
      <c r="E10" s="79"/>
      <c r="F10" s="79"/>
      <c r="G10" s="79"/>
      <c r="H10" s="79"/>
      <c r="I10" s="79"/>
      <c r="J10" s="79"/>
      <c r="K10" s="79"/>
    </row>
    <row r="11" spans="1:11" ht="15" customHeight="1" x14ac:dyDescent="0.25">
      <c r="A11" s="79"/>
      <c r="B11" s="82" t="s">
        <v>534</v>
      </c>
      <c r="C11" s="83" t="s">
        <v>530</v>
      </c>
      <c r="D11" s="238" t="s">
        <v>586</v>
      </c>
      <c r="E11" s="238"/>
      <c r="F11" s="238"/>
      <c r="G11" s="238"/>
      <c r="H11" s="238"/>
      <c r="I11" s="238"/>
      <c r="J11" s="238"/>
      <c r="K11" s="238"/>
    </row>
    <row r="12" spans="1:11" x14ac:dyDescent="0.25">
      <c r="A12" s="79"/>
      <c r="B12" s="78"/>
      <c r="C12" s="79"/>
      <c r="D12" s="238"/>
      <c r="E12" s="238"/>
      <c r="F12" s="238"/>
      <c r="G12" s="238"/>
      <c r="H12" s="238"/>
      <c r="I12" s="238"/>
      <c r="J12" s="238"/>
      <c r="K12" s="238"/>
    </row>
    <row r="13" spans="1:11" x14ac:dyDescent="0.25">
      <c r="A13" s="79"/>
      <c r="B13" s="79"/>
      <c r="C13" s="79"/>
      <c r="D13" s="238"/>
      <c r="E13" s="238"/>
      <c r="F13" s="238"/>
      <c r="G13" s="238"/>
      <c r="H13" s="238"/>
      <c r="I13" s="238"/>
      <c r="J13" s="238"/>
      <c r="K13" s="238"/>
    </row>
    <row r="14" spans="1:11" x14ac:dyDescent="0.25">
      <c r="A14" s="79"/>
      <c r="B14" s="79"/>
      <c r="C14" s="79"/>
      <c r="D14" s="239" t="s">
        <v>587</v>
      </c>
      <c r="E14" s="239"/>
      <c r="F14" s="239"/>
      <c r="G14" s="239"/>
      <c r="H14" s="239"/>
      <c r="I14" s="239"/>
      <c r="J14" s="239"/>
      <c r="K14" s="239"/>
    </row>
    <row r="15" spans="1:11" x14ac:dyDescent="0.25">
      <c r="A15" s="79"/>
      <c r="B15" s="79"/>
      <c r="C15" s="79"/>
      <c r="D15" s="239"/>
      <c r="E15" s="239"/>
      <c r="F15" s="239"/>
      <c r="G15" s="239"/>
      <c r="H15" s="239"/>
      <c r="I15" s="239"/>
      <c r="J15" s="239"/>
      <c r="K15" s="239"/>
    </row>
    <row r="16" spans="1:11" x14ac:dyDescent="0.25">
      <c r="A16" s="79"/>
      <c r="B16" s="79"/>
      <c r="C16" s="79"/>
      <c r="D16" s="84"/>
      <c r="E16" s="84"/>
      <c r="F16" s="84"/>
      <c r="G16" s="84"/>
      <c r="H16" s="84"/>
      <c r="I16" s="84"/>
      <c r="J16" s="84"/>
      <c r="K16" s="79"/>
    </row>
    <row r="17" spans="1:12" ht="15" customHeight="1" x14ac:dyDescent="0.25">
      <c r="A17" s="79"/>
      <c r="B17" s="82" t="s">
        <v>545</v>
      </c>
      <c r="C17" s="83" t="s">
        <v>530</v>
      </c>
      <c r="D17" s="238" t="s">
        <v>536</v>
      </c>
      <c r="E17" s="238"/>
      <c r="F17" s="238"/>
      <c r="G17" s="238"/>
      <c r="H17" s="238"/>
      <c r="I17" s="238"/>
      <c r="J17" s="238"/>
      <c r="K17" s="79"/>
    </row>
    <row r="18" spans="1:12" x14ac:dyDescent="0.25">
      <c r="A18" s="79"/>
      <c r="B18" s="86"/>
      <c r="C18" s="79"/>
      <c r="D18" s="238"/>
      <c r="E18" s="238"/>
      <c r="F18" s="238"/>
      <c r="G18" s="238"/>
      <c r="H18" s="238"/>
      <c r="I18" s="238"/>
      <c r="J18" s="238"/>
      <c r="K18" s="79"/>
    </row>
    <row r="19" spans="1:12" x14ac:dyDescent="0.25">
      <c r="A19" s="79"/>
      <c r="B19" s="79"/>
      <c r="C19" s="79"/>
      <c r="D19" s="238"/>
      <c r="E19" s="238"/>
      <c r="F19" s="238"/>
      <c r="G19" s="238"/>
      <c r="H19" s="238"/>
      <c r="I19" s="238"/>
      <c r="J19" s="238"/>
      <c r="K19" s="79"/>
    </row>
    <row r="20" spans="1:12" x14ac:dyDescent="0.25">
      <c r="A20" s="79"/>
      <c r="B20" s="79"/>
      <c r="C20" s="79"/>
      <c r="D20" s="84"/>
      <c r="E20" s="84"/>
      <c r="F20" s="84"/>
      <c r="G20" s="84"/>
      <c r="H20" s="84"/>
      <c r="I20" s="84"/>
      <c r="J20" s="84"/>
      <c r="K20" s="79"/>
    </row>
    <row r="21" spans="1:12" ht="15" customHeight="1" x14ac:dyDescent="0.25">
      <c r="A21" s="79"/>
      <c r="B21" s="82" t="s">
        <v>535</v>
      </c>
      <c r="C21" s="83" t="s">
        <v>530</v>
      </c>
      <c r="D21" s="238" t="s">
        <v>588</v>
      </c>
      <c r="E21" s="238"/>
      <c r="F21" s="238"/>
      <c r="G21" s="238"/>
      <c r="H21" s="238"/>
      <c r="I21" s="238"/>
      <c r="J21" s="238"/>
      <c r="K21" s="238"/>
    </row>
    <row r="22" spans="1:12" x14ac:dyDescent="0.25">
      <c r="A22" s="79"/>
      <c r="B22" s="87"/>
      <c r="C22" s="79"/>
      <c r="D22" s="238"/>
      <c r="E22" s="238"/>
      <c r="F22" s="238"/>
      <c r="G22" s="238"/>
      <c r="H22" s="238"/>
      <c r="I22" s="238"/>
      <c r="J22" s="238"/>
      <c r="K22" s="238"/>
    </row>
    <row r="23" spans="1:12" x14ac:dyDescent="0.25">
      <c r="A23" s="79"/>
      <c r="B23" s="79"/>
      <c r="C23" s="79"/>
      <c r="D23" s="238"/>
      <c r="E23" s="238"/>
      <c r="F23" s="238"/>
      <c r="G23" s="238"/>
      <c r="H23" s="238"/>
      <c r="I23" s="238"/>
      <c r="J23" s="238"/>
      <c r="K23" s="238"/>
    </row>
    <row r="24" spans="1:12" x14ac:dyDescent="0.25">
      <c r="A24" s="79"/>
      <c r="B24" s="79"/>
      <c r="C24" s="79"/>
      <c r="D24" s="239" t="s">
        <v>587</v>
      </c>
      <c r="E24" s="239"/>
      <c r="F24" s="239"/>
      <c r="G24" s="239"/>
      <c r="H24" s="239"/>
      <c r="I24" s="239"/>
      <c r="J24" s="239"/>
      <c r="K24" s="239"/>
    </row>
    <row r="25" spans="1:12" x14ac:dyDescent="0.25">
      <c r="A25" s="79"/>
      <c r="B25" s="79"/>
      <c r="C25" s="79"/>
      <c r="D25" s="239"/>
      <c r="E25" s="239"/>
      <c r="F25" s="239"/>
      <c r="G25" s="239"/>
      <c r="H25" s="239"/>
      <c r="I25" s="239"/>
      <c r="J25" s="239"/>
      <c r="K25" s="239"/>
    </row>
    <row r="26" spans="1:12" x14ac:dyDescent="0.25">
      <c r="A26" s="79"/>
      <c r="B26" s="79"/>
      <c r="C26" s="79"/>
      <c r="D26" s="231"/>
      <c r="E26" s="231"/>
      <c r="F26" s="231"/>
      <c r="G26" s="231"/>
      <c r="H26" s="231"/>
      <c r="I26" s="231"/>
      <c r="J26" s="231"/>
      <c r="K26" s="231"/>
    </row>
    <row r="27" spans="1:12" ht="15" customHeight="1" x14ac:dyDescent="0.25">
      <c r="A27" s="79"/>
      <c r="B27" s="241" t="s">
        <v>589</v>
      </c>
      <c r="C27" s="241"/>
      <c r="D27" s="241"/>
      <c r="E27" s="240" t="s">
        <v>590</v>
      </c>
      <c r="F27" s="240"/>
      <c r="G27" s="240"/>
      <c r="H27" s="240"/>
      <c r="I27" s="240"/>
      <c r="J27" s="240"/>
      <c r="K27" s="240"/>
      <c r="L27" s="232"/>
    </row>
    <row r="28" spans="1:12" x14ac:dyDescent="0.25">
      <c r="A28" s="79"/>
      <c r="B28" s="79"/>
      <c r="C28" s="79"/>
      <c r="D28" s="79"/>
      <c r="E28" s="79"/>
      <c r="F28" s="79"/>
      <c r="G28" s="79"/>
      <c r="H28" s="79"/>
      <c r="I28" s="79"/>
      <c r="J28" s="79"/>
      <c r="K28" s="79"/>
    </row>
    <row r="29" spans="1:12" x14ac:dyDescent="0.25">
      <c r="A29" s="81" t="s">
        <v>531</v>
      </c>
      <c r="B29" s="79" t="s">
        <v>580</v>
      </c>
      <c r="C29" s="79"/>
      <c r="D29" s="79"/>
      <c r="E29" s="79"/>
      <c r="F29" s="79"/>
      <c r="G29" s="79"/>
      <c r="H29" s="79"/>
      <c r="I29" s="79"/>
      <c r="J29" s="79"/>
      <c r="K29" s="79"/>
    </row>
    <row r="30" spans="1:12" x14ac:dyDescent="0.25">
      <c r="A30" s="79"/>
      <c r="B30" s="79" t="s">
        <v>581</v>
      </c>
      <c r="C30" s="79"/>
      <c r="D30" s="79"/>
      <c r="E30" s="79"/>
      <c r="F30" s="79"/>
      <c r="G30" s="79"/>
      <c r="H30" s="79"/>
      <c r="I30" s="79"/>
      <c r="J30" s="79"/>
      <c r="K30" s="79"/>
    </row>
    <row r="31" spans="1:12" x14ac:dyDescent="0.25">
      <c r="A31" s="79"/>
      <c r="B31" s="79"/>
      <c r="C31" s="79"/>
      <c r="D31" s="79"/>
      <c r="E31" s="79"/>
      <c r="F31" s="79"/>
      <c r="G31" s="79"/>
      <c r="H31" s="79"/>
      <c r="I31" s="79"/>
      <c r="J31" s="79"/>
      <c r="K31" s="79"/>
    </row>
    <row r="32" spans="1:12" x14ac:dyDescent="0.25">
      <c r="A32" s="81" t="s">
        <v>532</v>
      </c>
      <c r="B32" s="79" t="s">
        <v>538</v>
      </c>
      <c r="C32" s="79"/>
      <c r="D32" s="79"/>
      <c r="E32" s="79"/>
      <c r="F32" s="79"/>
      <c r="G32" s="79"/>
      <c r="H32" s="79"/>
      <c r="I32" s="79"/>
      <c r="J32" s="79"/>
      <c r="K32" s="79"/>
    </row>
    <row r="33" spans="1:11" x14ac:dyDescent="0.25">
      <c r="A33" s="79"/>
      <c r="B33" s="79"/>
      <c r="C33" s="79"/>
      <c r="D33" s="79"/>
      <c r="E33" s="79"/>
      <c r="F33" s="79"/>
      <c r="G33" s="79"/>
      <c r="H33" s="79"/>
      <c r="I33" s="79"/>
      <c r="J33" s="79"/>
      <c r="K33" s="79"/>
    </row>
    <row r="34" spans="1:11" x14ac:dyDescent="0.25">
      <c r="A34" s="79"/>
      <c r="B34" s="82" t="s">
        <v>421</v>
      </c>
      <c r="C34" s="83" t="s">
        <v>530</v>
      </c>
      <c r="D34" s="79" t="s">
        <v>584</v>
      </c>
      <c r="E34" s="79"/>
      <c r="F34" s="79"/>
      <c r="G34" s="79"/>
      <c r="H34" s="79"/>
      <c r="I34" s="79"/>
      <c r="J34" s="79"/>
      <c r="K34" s="79"/>
    </row>
    <row r="35" spans="1:11" x14ac:dyDescent="0.25">
      <c r="A35" s="79"/>
      <c r="B35" s="79"/>
      <c r="C35" s="79"/>
      <c r="D35" s="79"/>
      <c r="E35" s="79"/>
      <c r="F35" s="79"/>
      <c r="G35" s="79"/>
      <c r="H35" s="79"/>
      <c r="I35" s="79"/>
      <c r="J35" s="79"/>
      <c r="K35" s="79"/>
    </row>
    <row r="36" spans="1:11" x14ac:dyDescent="0.25">
      <c r="A36" s="79"/>
      <c r="B36" s="82" t="s">
        <v>410</v>
      </c>
      <c r="C36" s="83" t="s">
        <v>530</v>
      </c>
      <c r="D36" s="79" t="s">
        <v>537</v>
      </c>
      <c r="E36" s="79"/>
      <c r="F36" s="79"/>
      <c r="G36" s="79"/>
      <c r="H36" s="79"/>
      <c r="I36" s="79"/>
      <c r="J36" s="79"/>
      <c r="K36" s="79"/>
    </row>
    <row r="37" spans="1:11" x14ac:dyDescent="0.25">
      <c r="A37" s="79"/>
      <c r="B37" s="79"/>
      <c r="C37" s="79"/>
      <c r="D37" s="79"/>
      <c r="E37" s="79"/>
      <c r="F37" s="79"/>
      <c r="G37" s="79"/>
      <c r="H37" s="79"/>
      <c r="I37" s="79"/>
      <c r="J37" s="79"/>
      <c r="K37" s="79"/>
    </row>
    <row r="38" spans="1:11" x14ac:dyDescent="0.25">
      <c r="A38" s="79"/>
      <c r="B38" s="82" t="s">
        <v>436</v>
      </c>
      <c r="C38" s="83" t="s">
        <v>530</v>
      </c>
      <c r="D38" s="234" t="s">
        <v>539</v>
      </c>
      <c r="E38" s="234"/>
      <c r="F38" s="234"/>
      <c r="G38" s="234"/>
      <c r="H38" s="234"/>
      <c r="I38" s="234"/>
      <c r="J38" s="234"/>
      <c r="K38" s="234"/>
    </row>
    <row r="39" spans="1:11" x14ac:dyDescent="0.25">
      <c r="A39" s="79"/>
      <c r="B39" s="79"/>
      <c r="C39" s="79"/>
      <c r="D39" s="234"/>
      <c r="E39" s="234"/>
      <c r="F39" s="234"/>
      <c r="G39" s="234"/>
      <c r="H39" s="234"/>
      <c r="I39" s="234"/>
      <c r="J39" s="234"/>
      <c r="K39" s="234"/>
    </row>
    <row r="40" spans="1:11" x14ac:dyDescent="0.25">
      <c r="A40" s="79"/>
      <c r="B40" s="79"/>
      <c r="C40" s="79"/>
      <c r="D40" s="85" t="s">
        <v>540</v>
      </c>
      <c r="E40" s="79"/>
      <c r="F40" s="79"/>
      <c r="G40" s="79"/>
      <c r="H40" s="79"/>
      <c r="I40" s="79"/>
      <c r="J40" s="79"/>
      <c r="K40" s="79"/>
    </row>
    <row r="41" spans="1:11" x14ac:dyDescent="0.25">
      <c r="A41" s="79"/>
      <c r="B41" s="79"/>
      <c r="C41" s="79"/>
      <c r="D41" s="79"/>
      <c r="E41" s="79"/>
      <c r="F41" s="79"/>
      <c r="G41" s="79"/>
      <c r="H41" s="79"/>
      <c r="I41" s="79"/>
      <c r="J41" s="79"/>
      <c r="K41" s="79"/>
    </row>
    <row r="42" spans="1:11" x14ac:dyDescent="0.25">
      <c r="A42" s="79"/>
      <c r="B42" s="236" t="s">
        <v>576</v>
      </c>
      <c r="C42" s="236"/>
      <c r="D42" s="236"/>
      <c r="E42" s="236"/>
      <c r="F42" s="236"/>
      <c r="G42" s="236"/>
      <c r="H42" s="236"/>
      <c r="I42" s="236"/>
      <c r="J42" s="236"/>
      <c r="K42" s="236"/>
    </row>
    <row r="43" spans="1:11" ht="15" customHeight="1" x14ac:dyDescent="0.25">
      <c r="A43" s="79"/>
      <c r="B43" s="235" t="s">
        <v>583</v>
      </c>
      <c r="C43" s="235"/>
      <c r="D43" s="235"/>
      <c r="E43" s="235"/>
      <c r="F43" s="235"/>
      <c r="G43" s="235"/>
      <c r="H43" s="235"/>
      <c r="I43" s="235"/>
      <c r="J43" s="235"/>
      <c r="K43" s="235"/>
    </row>
    <row r="44" spans="1:11" x14ac:dyDescent="0.25">
      <c r="A44" s="79"/>
      <c r="B44" s="235"/>
      <c r="C44" s="235"/>
      <c r="D44" s="235"/>
      <c r="E44" s="235"/>
      <c r="F44" s="235"/>
      <c r="G44" s="235"/>
      <c r="H44" s="235"/>
      <c r="I44" s="235"/>
      <c r="J44" s="235"/>
      <c r="K44" s="235"/>
    </row>
    <row r="45" spans="1:11" x14ac:dyDescent="0.25">
      <c r="A45" s="79"/>
      <c r="B45" s="230"/>
      <c r="C45" s="230"/>
      <c r="D45" s="230"/>
      <c r="E45" s="230"/>
      <c r="F45" s="230"/>
      <c r="G45" s="230"/>
      <c r="H45" s="230"/>
      <c r="I45" s="230"/>
      <c r="J45" s="230"/>
      <c r="K45" s="230"/>
    </row>
    <row r="46" spans="1:11" x14ac:dyDescent="0.25">
      <c r="A46" s="79"/>
      <c r="B46" s="79"/>
      <c r="C46" s="79"/>
      <c r="D46" s="79"/>
      <c r="E46" s="79"/>
      <c r="F46" s="79"/>
      <c r="G46" s="79"/>
      <c r="H46" s="79"/>
      <c r="I46" s="79"/>
      <c r="J46" s="79"/>
      <c r="K46" s="79"/>
    </row>
    <row r="47" spans="1:11" x14ac:dyDescent="0.25">
      <c r="A47" s="79"/>
      <c r="B47" s="79"/>
      <c r="C47" s="79"/>
      <c r="D47" s="79"/>
      <c r="E47" s="79"/>
      <c r="F47" s="79"/>
      <c r="G47" s="79"/>
      <c r="H47" s="79"/>
      <c r="I47" s="79"/>
      <c r="J47" s="79"/>
      <c r="K47" s="79"/>
    </row>
    <row r="48" spans="1:11" x14ac:dyDescent="0.25">
      <c r="A48" s="79"/>
      <c r="B48" s="79"/>
      <c r="C48" s="79"/>
      <c r="D48" s="79"/>
      <c r="E48" s="79"/>
      <c r="F48" s="79"/>
      <c r="G48" s="79"/>
      <c r="H48" s="79"/>
      <c r="I48" s="79"/>
      <c r="J48" s="79"/>
      <c r="K48" s="79"/>
    </row>
    <row r="49" spans="1:11" x14ac:dyDescent="0.25">
      <c r="A49" s="79"/>
      <c r="B49" s="79"/>
      <c r="C49" s="79"/>
      <c r="D49" s="79"/>
      <c r="E49" s="79"/>
      <c r="F49" s="79"/>
      <c r="G49" s="79"/>
      <c r="H49" s="79"/>
      <c r="I49" s="79"/>
      <c r="J49" s="79"/>
      <c r="K49" s="79"/>
    </row>
    <row r="50" spans="1:11" x14ac:dyDescent="0.25">
      <c r="A50" s="79"/>
      <c r="B50" s="79"/>
      <c r="C50" s="79"/>
      <c r="D50" s="79"/>
      <c r="E50" s="79"/>
      <c r="F50" s="79"/>
      <c r="G50" s="79"/>
      <c r="H50" s="79"/>
      <c r="I50" s="79"/>
      <c r="J50" s="79"/>
      <c r="K50" s="79"/>
    </row>
    <row r="51" spans="1:11" x14ac:dyDescent="0.25">
      <c r="A51" s="79"/>
      <c r="B51" s="79"/>
      <c r="C51" s="79"/>
      <c r="D51" s="79"/>
      <c r="E51" s="79"/>
      <c r="F51" s="79"/>
      <c r="G51" s="79"/>
      <c r="H51" s="79"/>
      <c r="I51" s="79"/>
      <c r="J51" s="79"/>
      <c r="K51" s="79"/>
    </row>
    <row r="52" spans="1:11" x14ac:dyDescent="0.25">
      <c r="A52" s="79"/>
      <c r="B52" s="79"/>
      <c r="C52" s="79"/>
      <c r="D52" s="79"/>
      <c r="E52" s="79"/>
      <c r="F52" s="79"/>
      <c r="G52" s="79"/>
      <c r="H52" s="79"/>
      <c r="I52" s="79"/>
      <c r="J52" s="79"/>
      <c r="K52" s="79"/>
    </row>
    <row r="53" spans="1:11" x14ac:dyDescent="0.25">
      <c r="A53" s="79"/>
      <c r="B53" s="79"/>
      <c r="C53" s="79"/>
      <c r="D53" s="79"/>
      <c r="E53" s="79"/>
      <c r="F53" s="79"/>
      <c r="G53" s="79"/>
      <c r="H53" s="79"/>
      <c r="I53" s="79"/>
      <c r="J53" s="79"/>
      <c r="K53" s="79"/>
    </row>
    <row r="54" spans="1:11" x14ac:dyDescent="0.25">
      <c r="A54" s="79"/>
      <c r="B54" s="79"/>
      <c r="C54" s="79"/>
      <c r="D54" s="79"/>
      <c r="E54" s="79"/>
      <c r="F54" s="79"/>
      <c r="G54" s="79"/>
      <c r="H54" s="79"/>
      <c r="I54" s="79"/>
      <c r="J54" s="79"/>
      <c r="K54" s="79"/>
    </row>
    <row r="55" spans="1:11" x14ac:dyDescent="0.25">
      <c r="A55" s="79"/>
      <c r="B55" s="79"/>
      <c r="C55" s="79"/>
      <c r="D55" s="79"/>
      <c r="E55" s="79"/>
      <c r="F55" s="79"/>
      <c r="G55" s="79"/>
      <c r="H55" s="79"/>
      <c r="I55" s="79"/>
      <c r="J55" s="79"/>
      <c r="K55" s="79"/>
    </row>
    <row r="56" spans="1:11" x14ac:dyDescent="0.25">
      <c r="A56" s="79"/>
      <c r="B56" s="79"/>
      <c r="C56" s="79"/>
      <c r="D56" s="79"/>
      <c r="E56" s="79"/>
      <c r="F56" s="79"/>
      <c r="G56" s="79"/>
      <c r="H56" s="79"/>
      <c r="I56" s="79"/>
      <c r="J56" s="79"/>
      <c r="K56" s="79"/>
    </row>
    <row r="57" spans="1:11" x14ac:dyDescent="0.25">
      <c r="A57" s="79"/>
      <c r="B57" s="79"/>
      <c r="C57" s="79"/>
      <c r="D57" s="79"/>
      <c r="E57" s="79"/>
      <c r="F57" s="79"/>
      <c r="G57" s="79"/>
      <c r="H57" s="79"/>
      <c r="I57" s="79"/>
      <c r="J57" s="79"/>
      <c r="K57" s="79"/>
    </row>
    <row r="58" spans="1:11" x14ac:dyDescent="0.25">
      <c r="A58" s="79"/>
      <c r="B58" s="79"/>
      <c r="C58" s="79"/>
      <c r="D58" s="79"/>
      <c r="E58" s="79"/>
      <c r="F58" s="79"/>
      <c r="G58" s="79"/>
      <c r="H58" s="79"/>
      <c r="I58" s="79"/>
      <c r="J58" s="79"/>
      <c r="K58" s="79"/>
    </row>
    <row r="59" spans="1:11" x14ac:dyDescent="0.25">
      <c r="A59" s="79"/>
      <c r="B59" s="79"/>
      <c r="C59" s="79"/>
      <c r="D59" s="79"/>
      <c r="E59" s="79"/>
      <c r="F59" s="79"/>
      <c r="G59" s="79"/>
      <c r="H59" s="79"/>
      <c r="I59" s="79"/>
      <c r="J59" s="79"/>
      <c r="K59" s="79"/>
    </row>
    <row r="60" spans="1:11" x14ac:dyDescent="0.25">
      <c r="A60" s="79"/>
      <c r="B60" s="79"/>
      <c r="C60" s="79"/>
      <c r="D60" s="79"/>
      <c r="E60" s="79"/>
      <c r="F60" s="79"/>
      <c r="G60" s="79"/>
      <c r="H60" s="79"/>
      <c r="I60" s="79"/>
      <c r="J60" s="79"/>
      <c r="K60" s="79"/>
    </row>
    <row r="61" spans="1:11" x14ac:dyDescent="0.25">
      <c r="A61" s="79"/>
      <c r="B61" s="79"/>
      <c r="C61" s="79"/>
      <c r="D61" s="79"/>
      <c r="E61" s="79"/>
      <c r="F61" s="79"/>
      <c r="G61" s="79"/>
      <c r="H61" s="79"/>
      <c r="I61" s="79"/>
      <c r="J61" s="79"/>
      <c r="K61" s="79"/>
    </row>
    <row r="62" spans="1:11" x14ac:dyDescent="0.25">
      <c r="A62" s="79"/>
      <c r="B62" s="79"/>
      <c r="C62" s="79"/>
      <c r="D62" s="79"/>
      <c r="E62" s="79"/>
      <c r="F62" s="79"/>
      <c r="G62" s="79"/>
      <c r="H62" s="79"/>
      <c r="I62" s="79"/>
      <c r="J62" s="79"/>
      <c r="K62" s="79"/>
    </row>
    <row r="63" spans="1:11" x14ac:dyDescent="0.25">
      <c r="A63" s="79"/>
      <c r="B63" s="79"/>
      <c r="C63" s="79"/>
      <c r="D63" s="79"/>
      <c r="E63" s="79"/>
      <c r="F63" s="79"/>
      <c r="G63" s="79"/>
      <c r="H63" s="79"/>
      <c r="I63" s="79"/>
      <c r="J63" s="79"/>
      <c r="K63" s="79"/>
    </row>
    <row r="64" spans="1:11" x14ac:dyDescent="0.25">
      <c r="A64" s="79"/>
      <c r="B64" s="79"/>
      <c r="C64" s="79"/>
      <c r="D64" s="79"/>
      <c r="E64" s="79"/>
      <c r="F64" s="79"/>
      <c r="G64" s="79"/>
      <c r="H64" s="79"/>
      <c r="I64" s="79"/>
      <c r="J64" s="79"/>
      <c r="K64" s="79"/>
    </row>
    <row r="65" spans="1:11" x14ac:dyDescent="0.25">
      <c r="A65" s="79"/>
      <c r="B65" s="79"/>
      <c r="C65" s="79"/>
      <c r="D65" s="79"/>
      <c r="E65" s="79"/>
      <c r="F65" s="79"/>
      <c r="G65" s="79"/>
      <c r="H65" s="79"/>
      <c r="I65" s="79"/>
      <c r="J65" s="79"/>
      <c r="K65" s="79"/>
    </row>
    <row r="66" spans="1:11" x14ac:dyDescent="0.25">
      <c r="A66" s="79"/>
      <c r="B66" s="79"/>
      <c r="C66" s="79"/>
      <c r="D66" s="79"/>
      <c r="E66" s="79"/>
      <c r="F66" s="79"/>
      <c r="G66" s="79"/>
      <c r="H66" s="79"/>
      <c r="I66" s="79"/>
      <c r="J66" s="79"/>
      <c r="K66" s="79"/>
    </row>
    <row r="67" spans="1:11" x14ac:dyDescent="0.25">
      <c r="A67" s="79"/>
      <c r="B67" s="79"/>
      <c r="C67" s="79"/>
      <c r="D67" s="79"/>
      <c r="E67" s="79"/>
      <c r="F67" s="79"/>
      <c r="G67" s="79"/>
      <c r="H67" s="79"/>
      <c r="I67" s="79"/>
      <c r="J67" s="79"/>
      <c r="K67" s="79"/>
    </row>
    <row r="68" spans="1:11" x14ac:dyDescent="0.25">
      <c r="A68" s="79"/>
      <c r="B68" s="79"/>
      <c r="C68" s="79"/>
      <c r="D68" s="79"/>
      <c r="E68" s="79"/>
      <c r="F68" s="79"/>
      <c r="G68" s="79"/>
      <c r="H68" s="79"/>
      <c r="I68" s="79"/>
      <c r="J68" s="79"/>
      <c r="K68" s="79"/>
    </row>
    <row r="69" spans="1:11" x14ac:dyDescent="0.25">
      <c r="A69" s="79"/>
      <c r="B69" s="79"/>
      <c r="C69" s="79"/>
      <c r="D69" s="79"/>
      <c r="E69" s="79"/>
      <c r="F69" s="79"/>
      <c r="G69" s="79"/>
      <c r="H69" s="79"/>
      <c r="I69" s="79"/>
      <c r="J69" s="79"/>
      <c r="K69" s="79"/>
    </row>
    <row r="70" spans="1:11" x14ac:dyDescent="0.25">
      <c r="A70" s="79"/>
      <c r="B70" s="79"/>
      <c r="C70" s="79"/>
      <c r="D70" s="79"/>
      <c r="E70" s="79"/>
      <c r="F70" s="79"/>
      <c r="G70" s="79"/>
      <c r="H70" s="79"/>
      <c r="I70" s="79"/>
      <c r="J70" s="79"/>
      <c r="K70" s="79"/>
    </row>
    <row r="71" spans="1:11" x14ac:dyDescent="0.25">
      <c r="A71" s="79"/>
      <c r="B71" s="79"/>
      <c r="C71" s="79"/>
      <c r="D71" s="79"/>
      <c r="E71" s="79"/>
      <c r="F71" s="79"/>
      <c r="G71" s="79"/>
      <c r="H71" s="79"/>
      <c r="I71" s="79"/>
      <c r="J71" s="79"/>
      <c r="K71" s="79"/>
    </row>
    <row r="72" spans="1:11" x14ac:dyDescent="0.25">
      <c r="A72" s="79"/>
      <c r="B72" s="79"/>
      <c r="C72" s="79"/>
      <c r="D72" s="79"/>
      <c r="E72" s="79"/>
      <c r="F72" s="79"/>
      <c r="G72" s="79"/>
      <c r="H72" s="79"/>
      <c r="I72" s="79"/>
      <c r="J72" s="79"/>
      <c r="K72" s="79"/>
    </row>
    <row r="73" spans="1:11" x14ac:dyDescent="0.25">
      <c r="A73" s="79"/>
      <c r="B73" s="79"/>
      <c r="C73" s="79"/>
      <c r="D73" s="79"/>
      <c r="E73" s="79"/>
      <c r="F73" s="79"/>
      <c r="G73" s="79"/>
      <c r="H73" s="79"/>
      <c r="I73" s="79"/>
      <c r="J73" s="79"/>
      <c r="K73" s="79"/>
    </row>
    <row r="74" spans="1:11" x14ac:dyDescent="0.25">
      <c r="A74" s="79"/>
      <c r="B74" s="79"/>
      <c r="C74" s="79"/>
      <c r="D74" s="79"/>
      <c r="E74" s="79"/>
      <c r="F74" s="79"/>
      <c r="G74" s="79"/>
      <c r="H74" s="79"/>
      <c r="I74" s="79"/>
      <c r="J74" s="79"/>
      <c r="K74" s="79"/>
    </row>
    <row r="75" spans="1:11" x14ac:dyDescent="0.25">
      <c r="A75" s="79"/>
      <c r="B75" s="79"/>
      <c r="C75" s="79"/>
      <c r="D75" s="79"/>
      <c r="E75" s="79"/>
      <c r="F75" s="79"/>
      <c r="G75" s="79"/>
      <c r="H75" s="79"/>
      <c r="I75" s="79"/>
      <c r="J75" s="79"/>
      <c r="K75" s="79"/>
    </row>
    <row r="76" spans="1:11" x14ac:dyDescent="0.25">
      <c r="A76" s="79"/>
      <c r="B76" s="79"/>
      <c r="C76" s="79"/>
      <c r="D76" s="79"/>
      <c r="E76" s="79"/>
      <c r="F76" s="79"/>
      <c r="G76" s="79"/>
      <c r="H76" s="79"/>
      <c r="I76" s="79"/>
      <c r="J76" s="79"/>
      <c r="K76" s="79"/>
    </row>
  </sheetData>
  <sheetProtection algorithmName="SHA-512" hashValue="Ryq4veeHMP6CtgkZ09RXh9w/W3fx6rjpvofybfXnvMrw9BXn7GHqcmjsmLkvD6C0rdtnr6KD8Nk8Dslr1/y1RA==" saltValue="wS7tHEmm8ReRg1WS8jXlCw==" spinCount="100000" sheet="1" objects="1" scenarios="1"/>
  <mergeCells count="16">
    <mergeCell ref="C1:K2"/>
    <mergeCell ref="D38:K39"/>
    <mergeCell ref="B43:K44"/>
    <mergeCell ref="B42:K42"/>
    <mergeCell ref="A6:K6"/>
    <mergeCell ref="A7:K7"/>
    <mergeCell ref="D17:J19"/>
    <mergeCell ref="A3:K3"/>
    <mergeCell ref="D14:K15"/>
    <mergeCell ref="D11:K13"/>
    <mergeCell ref="D21:K23"/>
    <mergeCell ref="D24:K25"/>
    <mergeCell ref="E27:K27"/>
    <mergeCell ref="B27:D27"/>
    <mergeCell ref="A4:K4"/>
    <mergeCell ref="A5:K5"/>
  </mergeCells>
  <pageMargins left="0.7" right="0.7" top="0.75" bottom="0.75" header="0.3" footer="0.3"/>
  <pageSetup scale="77" orientation="portrait" r:id="rId1"/>
  <colBreaks count="1" manualBreakCount="1">
    <brk id="1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V170"/>
  <sheetViews>
    <sheetView topLeftCell="A19" workbookViewId="0">
      <selection activeCell="I167" sqref="I167"/>
    </sheetView>
  </sheetViews>
  <sheetFormatPr defaultRowHeight="15" x14ac:dyDescent="0.25"/>
  <cols>
    <col min="1" max="1" width="61.42578125" bestFit="1" customWidth="1"/>
    <col min="2" max="2" width="11.140625" bestFit="1" customWidth="1"/>
    <col min="4" max="4" width="11.140625" bestFit="1" customWidth="1"/>
    <col min="5" max="5" width="12.28515625" bestFit="1" customWidth="1"/>
    <col min="6" max="6" width="12.85546875" style="5" customWidth="1"/>
    <col min="7" max="7" width="2" bestFit="1" customWidth="1"/>
    <col min="8" max="8" width="11" bestFit="1" customWidth="1"/>
    <col min="9" max="9" width="61.42578125" bestFit="1" customWidth="1"/>
    <col min="10" max="10" width="8.7109375" bestFit="1" customWidth="1"/>
    <col min="12" max="12" width="11.140625" bestFit="1" customWidth="1"/>
    <col min="13" max="13" width="11" bestFit="1" customWidth="1"/>
    <col min="14" max="14" width="12.85546875" bestFit="1" customWidth="1"/>
    <col min="15" max="15" width="2" bestFit="1" customWidth="1"/>
    <col min="17" max="17" width="38.140625" customWidth="1"/>
    <col min="18" max="18" width="8.7109375" customWidth="1"/>
    <col min="20" max="20" width="11.140625" bestFit="1" customWidth="1"/>
    <col min="21" max="21" width="7" customWidth="1"/>
    <col min="22" max="22" width="12.85546875" bestFit="1" customWidth="1"/>
  </cols>
  <sheetData>
    <row r="1" spans="1:22" x14ac:dyDescent="0.25">
      <c r="A1" s="4">
        <v>1</v>
      </c>
      <c r="B1" s="4">
        <v>2</v>
      </c>
      <c r="C1" s="4">
        <v>3</v>
      </c>
      <c r="D1" s="4">
        <v>4</v>
      </c>
      <c r="E1" s="4">
        <v>5</v>
      </c>
      <c r="F1" s="5" t="s">
        <v>167</v>
      </c>
      <c r="I1" s="4">
        <v>1</v>
      </c>
      <c r="J1" s="4">
        <v>2</v>
      </c>
      <c r="K1" s="4">
        <v>3</v>
      </c>
      <c r="L1" s="4">
        <v>4</v>
      </c>
      <c r="M1" s="4">
        <v>5</v>
      </c>
      <c r="N1" s="5" t="s">
        <v>167</v>
      </c>
      <c r="Q1" s="4">
        <v>1</v>
      </c>
      <c r="R1" s="4">
        <v>2</v>
      </c>
      <c r="S1" s="4">
        <v>3</v>
      </c>
      <c r="T1" s="4">
        <v>4</v>
      </c>
      <c r="U1" s="4">
        <v>5</v>
      </c>
      <c r="V1" s="5" t="s">
        <v>167</v>
      </c>
    </row>
    <row r="2" spans="1:22" ht="18.75" x14ac:dyDescent="0.3">
      <c r="A2" s="273" t="s">
        <v>61</v>
      </c>
      <c r="B2" s="273"/>
      <c r="C2" s="273"/>
      <c r="D2" s="273"/>
      <c r="E2" s="273"/>
      <c r="F2" s="273"/>
      <c r="I2" s="273" t="s">
        <v>65</v>
      </c>
      <c r="J2" s="273"/>
      <c r="K2" s="273"/>
      <c r="L2" s="273"/>
      <c r="M2" s="273"/>
      <c r="N2" s="273"/>
      <c r="Q2" s="273" t="s">
        <v>250</v>
      </c>
      <c r="R2" s="273"/>
      <c r="S2" s="273"/>
      <c r="T2" s="273"/>
      <c r="U2" s="273"/>
      <c r="V2" s="273"/>
    </row>
    <row r="3" spans="1:22" x14ac:dyDescent="0.25">
      <c r="A3" t="s">
        <v>5</v>
      </c>
      <c r="B3" t="s">
        <v>8</v>
      </c>
      <c r="C3" t="s">
        <v>7</v>
      </c>
      <c r="D3" t="s">
        <v>6</v>
      </c>
      <c r="E3" t="s">
        <v>129</v>
      </c>
      <c r="F3" s="5" t="s">
        <v>130</v>
      </c>
      <c r="I3" t="s">
        <v>5</v>
      </c>
      <c r="J3" t="s">
        <v>8</v>
      </c>
      <c r="K3" t="s">
        <v>7</v>
      </c>
      <c r="L3" t="s">
        <v>6</v>
      </c>
      <c r="M3" t="s">
        <v>129</v>
      </c>
      <c r="N3" s="5" t="s">
        <v>130</v>
      </c>
      <c r="Q3" t="s">
        <v>5</v>
      </c>
      <c r="R3" t="s">
        <v>8</v>
      </c>
      <c r="S3" t="s">
        <v>7</v>
      </c>
      <c r="T3" t="s">
        <v>6</v>
      </c>
      <c r="U3" t="s">
        <v>129</v>
      </c>
      <c r="V3" s="5" t="s">
        <v>130</v>
      </c>
    </row>
    <row r="4" spans="1:22" x14ac:dyDescent="0.25">
      <c r="A4" t="s">
        <v>2</v>
      </c>
      <c r="C4">
        <v>1</v>
      </c>
      <c r="D4" t="s">
        <v>2</v>
      </c>
      <c r="E4" t="s">
        <v>2</v>
      </c>
      <c r="I4" t="s">
        <v>2</v>
      </c>
      <c r="K4">
        <v>1</v>
      </c>
      <c r="L4" t="s">
        <v>2</v>
      </c>
      <c r="M4" t="s">
        <v>2</v>
      </c>
      <c r="N4" s="5"/>
      <c r="Q4" t="s">
        <v>2</v>
      </c>
      <c r="S4">
        <v>1</v>
      </c>
      <c r="T4" t="s">
        <v>2</v>
      </c>
      <c r="U4" t="s">
        <v>2</v>
      </c>
      <c r="V4" s="5"/>
    </row>
    <row r="5" spans="1:22" ht="15.75" x14ac:dyDescent="0.25">
      <c r="A5" s="2" t="s">
        <v>87</v>
      </c>
      <c r="B5" t="s">
        <v>9</v>
      </c>
      <c r="C5" s="3">
        <v>4</v>
      </c>
      <c r="D5" t="s">
        <v>12</v>
      </c>
      <c r="E5" t="s">
        <v>100</v>
      </c>
      <c r="F5" s="5" t="s">
        <v>154</v>
      </c>
      <c r="I5" s="2" t="s">
        <v>183</v>
      </c>
      <c r="J5" t="s">
        <v>14</v>
      </c>
      <c r="K5" s="3">
        <v>16</v>
      </c>
      <c r="L5" t="s">
        <v>4</v>
      </c>
      <c r="M5" t="s">
        <v>100</v>
      </c>
      <c r="N5" s="5" t="s">
        <v>184</v>
      </c>
      <c r="Q5" t="s">
        <v>228</v>
      </c>
      <c r="R5" t="s">
        <v>11</v>
      </c>
      <c r="S5" s="3">
        <v>8</v>
      </c>
      <c r="T5" t="s">
        <v>12</v>
      </c>
      <c r="V5" s="5">
        <v>4</v>
      </c>
    </row>
    <row r="6" spans="1:22" ht="15.75" x14ac:dyDescent="0.25">
      <c r="A6" s="2" t="s">
        <v>88</v>
      </c>
      <c r="B6" t="s">
        <v>9</v>
      </c>
      <c r="C6" s="3">
        <v>4</v>
      </c>
      <c r="D6" t="s">
        <v>12</v>
      </c>
      <c r="E6" t="s">
        <v>100</v>
      </c>
      <c r="F6" s="5" t="s">
        <v>155</v>
      </c>
      <c r="I6" s="2" t="s">
        <v>89</v>
      </c>
      <c r="J6" t="s">
        <v>14</v>
      </c>
      <c r="K6" s="3">
        <v>128</v>
      </c>
      <c r="L6" t="s">
        <v>15</v>
      </c>
      <c r="M6" t="s">
        <v>100</v>
      </c>
      <c r="N6" s="5" t="s">
        <v>133</v>
      </c>
      <c r="Q6" t="s">
        <v>229</v>
      </c>
      <c r="R6" t="s">
        <v>11</v>
      </c>
      <c r="S6" s="3">
        <v>8</v>
      </c>
      <c r="T6" t="s">
        <v>12</v>
      </c>
      <c r="V6" s="5" t="s">
        <v>165</v>
      </c>
    </row>
    <row r="7" spans="1:22" ht="15.75" x14ac:dyDescent="0.25">
      <c r="A7" s="2" t="s">
        <v>90</v>
      </c>
      <c r="B7" t="s">
        <v>11</v>
      </c>
      <c r="C7" s="3">
        <v>8</v>
      </c>
      <c r="D7" t="s">
        <v>12</v>
      </c>
      <c r="E7" t="s">
        <v>100</v>
      </c>
      <c r="F7" s="5" t="s">
        <v>134</v>
      </c>
      <c r="I7" s="2" t="s">
        <v>185</v>
      </c>
      <c r="J7" t="s">
        <v>14</v>
      </c>
      <c r="K7" s="3">
        <v>128</v>
      </c>
      <c r="L7" t="s">
        <v>15</v>
      </c>
      <c r="M7" t="s">
        <v>100</v>
      </c>
      <c r="N7" s="5" t="s">
        <v>186</v>
      </c>
      <c r="Q7" t="s">
        <v>230</v>
      </c>
      <c r="R7" t="s">
        <v>14</v>
      </c>
      <c r="S7" s="3">
        <v>16</v>
      </c>
      <c r="T7" t="s">
        <v>4</v>
      </c>
      <c r="V7" s="5" t="s">
        <v>143</v>
      </c>
    </row>
    <row r="8" spans="1:22" ht="15.75" x14ac:dyDescent="0.25">
      <c r="A8" s="2" t="s">
        <v>89</v>
      </c>
      <c r="B8" t="s">
        <v>14</v>
      </c>
      <c r="C8" s="3">
        <v>128</v>
      </c>
      <c r="D8" t="s">
        <v>15</v>
      </c>
      <c r="E8" t="s">
        <v>100</v>
      </c>
      <c r="F8" s="5" t="s">
        <v>156</v>
      </c>
      <c r="I8" s="2" t="s">
        <v>187</v>
      </c>
      <c r="J8" t="s">
        <v>14</v>
      </c>
      <c r="K8" s="3">
        <v>16</v>
      </c>
      <c r="L8" t="s">
        <v>4</v>
      </c>
      <c r="M8" t="s">
        <v>100</v>
      </c>
      <c r="N8" s="5" t="s">
        <v>186</v>
      </c>
      <c r="Q8" t="s">
        <v>231</v>
      </c>
      <c r="R8" t="s">
        <v>14</v>
      </c>
      <c r="S8" s="3">
        <v>128</v>
      </c>
      <c r="T8" t="s">
        <v>12</v>
      </c>
      <c r="V8" s="5" t="s">
        <v>247</v>
      </c>
    </row>
    <row r="9" spans="1:22" ht="15.75" x14ac:dyDescent="0.25">
      <c r="A9" s="2" t="s">
        <v>16</v>
      </c>
      <c r="B9" t="s">
        <v>14</v>
      </c>
      <c r="C9" s="3">
        <v>128</v>
      </c>
      <c r="D9" t="s">
        <v>15</v>
      </c>
      <c r="E9" t="s">
        <v>100</v>
      </c>
      <c r="F9" s="5" t="s">
        <v>135</v>
      </c>
      <c r="I9" s="2" t="s">
        <v>188</v>
      </c>
      <c r="J9" t="s">
        <v>14</v>
      </c>
      <c r="K9" s="3">
        <v>16</v>
      </c>
      <c r="L9" t="s">
        <v>4</v>
      </c>
      <c r="M9" t="s">
        <v>100</v>
      </c>
      <c r="N9" s="5" t="s">
        <v>186</v>
      </c>
      <c r="Q9" t="s">
        <v>108</v>
      </c>
      <c r="R9" t="s">
        <v>11</v>
      </c>
      <c r="S9" s="3">
        <v>8</v>
      </c>
      <c r="T9" t="s">
        <v>12</v>
      </c>
      <c r="V9" s="5" t="s">
        <v>165</v>
      </c>
    </row>
    <row r="10" spans="1:22" ht="15.75" x14ac:dyDescent="0.25">
      <c r="A10" s="2" t="s">
        <v>78</v>
      </c>
      <c r="B10" t="s">
        <v>17</v>
      </c>
      <c r="C10" s="3">
        <v>1</v>
      </c>
      <c r="D10" t="s">
        <v>4</v>
      </c>
      <c r="E10" t="s">
        <v>101</v>
      </c>
      <c r="F10" s="5" t="s">
        <v>147</v>
      </c>
      <c r="I10" s="2" t="s">
        <v>189</v>
      </c>
      <c r="J10" t="s">
        <v>14</v>
      </c>
      <c r="K10" s="3">
        <v>16</v>
      </c>
      <c r="L10" t="s">
        <v>4</v>
      </c>
      <c r="M10" t="s">
        <v>100</v>
      </c>
      <c r="N10" s="5" t="s">
        <v>190</v>
      </c>
      <c r="Q10" s="2" t="s">
        <v>111</v>
      </c>
      <c r="R10" t="s">
        <v>11</v>
      </c>
      <c r="S10" s="3">
        <v>8</v>
      </c>
      <c r="T10" t="s">
        <v>12</v>
      </c>
      <c r="V10" s="5">
        <v>6</v>
      </c>
    </row>
    <row r="11" spans="1:22" ht="15.75" x14ac:dyDescent="0.25">
      <c r="A11" s="2" t="s">
        <v>77</v>
      </c>
      <c r="B11" t="s">
        <v>9</v>
      </c>
      <c r="C11" s="3">
        <v>4</v>
      </c>
      <c r="D11" t="s">
        <v>12</v>
      </c>
      <c r="E11" t="s">
        <v>101</v>
      </c>
      <c r="F11" s="5" t="s">
        <v>147</v>
      </c>
      <c r="I11" s="2" t="s">
        <v>191</v>
      </c>
      <c r="J11" t="s">
        <v>14</v>
      </c>
      <c r="K11" s="3">
        <v>16</v>
      </c>
      <c r="L11" t="s">
        <v>4</v>
      </c>
      <c r="M11" t="s">
        <v>100</v>
      </c>
      <c r="N11" s="5" t="s">
        <v>186</v>
      </c>
      <c r="Q11" t="s">
        <v>232</v>
      </c>
      <c r="R11" t="s">
        <v>11</v>
      </c>
      <c r="S11" s="3">
        <v>8</v>
      </c>
      <c r="T11" t="s">
        <v>12</v>
      </c>
      <c r="V11" s="5" t="s">
        <v>248</v>
      </c>
    </row>
    <row r="12" spans="1:22" ht="15.75" x14ac:dyDescent="0.25">
      <c r="A12" s="2" t="s">
        <v>79</v>
      </c>
      <c r="B12" t="s">
        <v>14</v>
      </c>
      <c r="C12" s="3">
        <v>128</v>
      </c>
      <c r="D12" t="s">
        <v>12</v>
      </c>
      <c r="E12" t="s">
        <v>101</v>
      </c>
      <c r="F12" s="5" t="s">
        <v>148</v>
      </c>
      <c r="I12" s="2" t="s">
        <v>62</v>
      </c>
      <c r="J12" t="s">
        <v>11</v>
      </c>
      <c r="K12" s="3">
        <v>8</v>
      </c>
      <c r="L12" t="s">
        <v>12</v>
      </c>
      <c r="M12" t="s">
        <v>100</v>
      </c>
      <c r="N12" s="5" t="s">
        <v>157</v>
      </c>
      <c r="Q12" t="s">
        <v>233</v>
      </c>
      <c r="R12" t="s">
        <v>14</v>
      </c>
      <c r="S12" s="3">
        <v>16</v>
      </c>
      <c r="T12" t="s">
        <v>4</v>
      </c>
      <c r="V12" s="5" t="s">
        <v>151</v>
      </c>
    </row>
    <row r="13" spans="1:22" ht="15.75" x14ac:dyDescent="0.25">
      <c r="A13" s="2" t="s">
        <v>91</v>
      </c>
      <c r="B13" t="s">
        <v>14</v>
      </c>
      <c r="C13" s="3">
        <v>128</v>
      </c>
      <c r="D13" t="s">
        <v>15</v>
      </c>
      <c r="E13" t="s">
        <v>100</v>
      </c>
      <c r="F13" s="5" t="s">
        <v>143</v>
      </c>
      <c r="I13" s="2" t="s">
        <v>170</v>
      </c>
      <c r="J13" t="s">
        <v>14</v>
      </c>
      <c r="K13" s="3">
        <v>128</v>
      </c>
      <c r="L13" t="s">
        <v>12</v>
      </c>
      <c r="M13" t="s">
        <v>101</v>
      </c>
      <c r="N13" s="5" t="s">
        <v>133</v>
      </c>
      <c r="Q13" t="s">
        <v>234</v>
      </c>
      <c r="R13" t="s">
        <v>14</v>
      </c>
      <c r="S13" s="3">
        <v>16</v>
      </c>
      <c r="T13" t="s">
        <v>4</v>
      </c>
      <c r="V13" s="5" t="s">
        <v>151</v>
      </c>
    </row>
    <row r="14" spans="1:22" ht="15.75" x14ac:dyDescent="0.25">
      <c r="A14" s="2" t="s">
        <v>158</v>
      </c>
      <c r="B14" t="s">
        <v>9</v>
      </c>
      <c r="C14" s="3">
        <v>5</v>
      </c>
      <c r="D14" t="s">
        <v>12</v>
      </c>
      <c r="E14" t="s">
        <v>100</v>
      </c>
      <c r="F14" s="5" t="s">
        <v>157</v>
      </c>
      <c r="I14" s="2" t="s">
        <v>192</v>
      </c>
      <c r="J14" t="s">
        <v>14</v>
      </c>
      <c r="K14" s="3">
        <v>128</v>
      </c>
      <c r="L14" t="s">
        <v>15</v>
      </c>
      <c r="M14" t="s">
        <v>100</v>
      </c>
      <c r="N14" s="5" t="s">
        <v>143</v>
      </c>
      <c r="Q14" t="s">
        <v>235</v>
      </c>
      <c r="R14" t="s">
        <v>14</v>
      </c>
      <c r="S14" s="3">
        <v>16</v>
      </c>
      <c r="T14" t="s">
        <v>4</v>
      </c>
      <c r="V14" s="5" t="s">
        <v>143</v>
      </c>
    </row>
    <row r="15" spans="1:22" ht="15.75" x14ac:dyDescent="0.25">
      <c r="A15" s="2" t="s">
        <v>92</v>
      </c>
      <c r="B15" t="s">
        <v>9</v>
      </c>
      <c r="C15" s="3">
        <v>4</v>
      </c>
      <c r="D15" t="s">
        <v>12</v>
      </c>
      <c r="E15" t="s">
        <v>100</v>
      </c>
      <c r="F15" s="5" t="s">
        <v>157</v>
      </c>
      <c r="I15" s="2" t="s">
        <v>171</v>
      </c>
      <c r="J15" t="s">
        <v>11</v>
      </c>
      <c r="K15" s="3">
        <v>8</v>
      </c>
      <c r="L15" t="s">
        <v>12</v>
      </c>
      <c r="M15" t="s">
        <v>101</v>
      </c>
      <c r="N15" s="5" t="s">
        <v>172</v>
      </c>
      <c r="Q15" t="s">
        <v>236</v>
      </c>
      <c r="R15" t="s">
        <v>14</v>
      </c>
      <c r="S15" s="3">
        <v>128</v>
      </c>
      <c r="T15" t="s">
        <v>12</v>
      </c>
      <c r="V15" s="5" t="s">
        <v>249</v>
      </c>
    </row>
    <row r="16" spans="1:22" ht="15.75" x14ac:dyDescent="0.25">
      <c r="A16" s="2" t="s">
        <v>94</v>
      </c>
      <c r="B16" t="s">
        <v>9</v>
      </c>
      <c r="C16" s="3">
        <v>4</v>
      </c>
      <c r="D16" t="s">
        <v>12</v>
      </c>
      <c r="E16" t="s">
        <v>100</v>
      </c>
      <c r="F16" s="5" t="s">
        <v>157</v>
      </c>
      <c r="I16" s="2" t="s">
        <v>173</v>
      </c>
      <c r="J16" t="s">
        <v>11</v>
      </c>
      <c r="K16" s="3">
        <v>8</v>
      </c>
      <c r="L16" t="s">
        <v>12</v>
      </c>
      <c r="M16" t="s">
        <v>101</v>
      </c>
      <c r="N16" s="5" t="s">
        <v>149</v>
      </c>
      <c r="Q16" t="s">
        <v>237</v>
      </c>
      <c r="R16" t="s">
        <v>11</v>
      </c>
      <c r="S16" s="3">
        <v>8</v>
      </c>
      <c r="T16" t="s">
        <v>12</v>
      </c>
      <c r="V16" s="5" t="s">
        <v>165</v>
      </c>
    </row>
    <row r="17" spans="1:22" ht="15.75" x14ac:dyDescent="0.25">
      <c r="A17" s="2" t="s">
        <v>93</v>
      </c>
      <c r="B17" t="s">
        <v>9</v>
      </c>
      <c r="C17" s="3">
        <v>4</v>
      </c>
      <c r="D17" t="s">
        <v>12</v>
      </c>
      <c r="E17" t="s">
        <v>100</v>
      </c>
      <c r="F17" s="5" t="s">
        <v>157</v>
      </c>
      <c r="I17" s="2" t="s">
        <v>224</v>
      </c>
      <c r="J17" t="s">
        <v>14</v>
      </c>
      <c r="K17">
        <v>128</v>
      </c>
      <c r="L17" t="s">
        <v>12</v>
      </c>
      <c r="M17" t="s">
        <v>101</v>
      </c>
      <c r="N17" s="5" t="s">
        <v>165</v>
      </c>
      <c r="Q17" t="s">
        <v>238</v>
      </c>
      <c r="R17" t="s">
        <v>14</v>
      </c>
      <c r="S17" s="3">
        <v>16</v>
      </c>
      <c r="T17" t="s">
        <v>4</v>
      </c>
      <c r="V17" s="5" t="s">
        <v>143</v>
      </c>
    </row>
    <row r="18" spans="1:22" ht="15.75" x14ac:dyDescent="0.25">
      <c r="A18" s="2" t="s">
        <v>80</v>
      </c>
      <c r="B18" t="s">
        <v>11</v>
      </c>
      <c r="C18" s="3">
        <v>8</v>
      </c>
      <c r="D18" t="s">
        <v>12</v>
      </c>
      <c r="E18" t="s">
        <v>101</v>
      </c>
      <c r="F18" s="5" t="s">
        <v>149</v>
      </c>
      <c r="I18" s="2" t="s">
        <v>193</v>
      </c>
      <c r="J18" t="s">
        <v>14</v>
      </c>
      <c r="K18" s="3">
        <v>16</v>
      </c>
      <c r="L18" t="s">
        <v>4</v>
      </c>
      <c r="M18" t="s">
        <v>100</v>
      </c>
      <c r="N18" s="5" t="s">
        <v>184</v>
      </c>
      <c r="Q18" t="s">
        <v>239</v>
      </c>
      <c r="R18" t="s">
        <v>14</v>
      </c>
      <c r="S18" s="3">
        <v>16</v>
      </c>
      <c r="T18" t="s">
        <v>4</v>
      </c>
      <c r="V18" s="5" t="s">
        <v>151</v>
      </c>
    </row>
    <row r="19" spans="1:22" ht="15.75" x14ac:dyDescent="0.25">
      <c r="A19" s="2" t="s">
        <v>81</v>
      </c>
      <c r="B19" t="s">
        <v>14</v>
      </c>
      <c r="C19" s="3">
        <v>128</v>
      </c>
      <c r="D19" t="s">
        <v>12</v>
      </c>
      <c r="E19" t="s">
        <v>101</v>
      </c>
      <c r="F19" s="5" t="s">
        <v>148</v>
      </c>
      <c r="I19" s="2" t="s">
        <v>95</v>
      </c>
      <c r="J19" t="s">
        <v>14</v>
      </c>
      <c r="K19" s="3">
        <v>16</v>
      </c>
      <c r="L19" t="s">
        <v>4</v>
      </c>
      <c r="M19" t="s">
        <v>100</v>
      </c>
      <c r="N19" s="5" t="s">
        <v>133</v>
      </c>
      <c r="Q19" t="s">
        <v>240</v>
      </c>
      <c r="R19" t="s">
        <v>14</v>
      </c>
      <c r="S19" s="3">
        <v>16</v>
      </c>
      <c r="T19" t="s">
        <v>4</v>
      </c>
      <c r="V19" s="5" t="s">
        <v>151</v>
      </c>
    </row>
    <row r="20" spans="1:22" ht="15.75" x14ac:dyDescent="0.25">
      <c r="A20" s="2" t="s">
        <v>21</v>
      </c>
      <c r="B20" t="s">
        <v>14</v>
      </c>
      <c r="C20" s="3">
        <v>1</v>
      </c>
      <c r="D20" t="s">
        <v>15</v>
      </c>
      <c r="E20" t="s">
        <v>100</v>
      </c>
      <c r="F20" s="5" t="s">
        <v>137</v>
      </c>
      <c r="I20" s="2" t="s">
        <v>194</v>
      </c>
      <c r="J20" t="s">
        <v>14</v>
      </c>
      <c r="K20" s="3">
        <v>16</v>
      </c>
      <c r="L20" t="s">
        <v>4</v>
      </c>
      <c r="M20" t="s">
        <v>100</v>
      </c>
      <c r="N20" s="5" t="s">
        <v>195</v>
      </c>
      <c r="Q20" t="s">
        <v>241</v>
      </c>
      <c r="R20" t="s">
        <v>14</v>
      </c>
      <c r="S20" s="3">
        <v>16</v>
      </c>
      <c r="T20" t="s">
        <v>4</v>
      </c>
      <c r="V20" s="5" t="s">
        <v>151</v>
      </c>
    </row>
    <row r="21" spans="1:22" ht="15.75" x14ac:dyDescent="0.25">
      <c r="A21" s="2" t="s">
        <v>82</v>
      </c>
      <c r="B21" t="s">
        <v>9</v>
      </c>
      <c r="C21" s="3">
        <v>4</v>
      </c>
      <c r="D21" t="s">
        <v>12</v>
      </c>
      <c r="E21" t="s">
        <v>101</v>
      </c>
      <c r="F21" s="5" t="s">
        <v>149</v>
      </c>
      <c r="I21" s="2" t="s">
        <v>174</v>
      </c>
      <c r="J21" t="s">
        <v>14</v>
      </c>
      <c r="K21" s="3">
        <v>16</v>
      </c>
      <c r="L21" t="s">
        <v>4</v>
      </c>
      <c r="M21" t="s">
        <v>101</v>
      </c>
      <c r="N21" s="5" t="s">
        <v>151</v>
      </c>
      <c r="Q21" t="s">
        <v>27</v>
      </c>
      <c r="R21" t="s">
        <v>11</v>
      </c>
      <c r="S21" s="3">
        <v>8</v>
      </c>
      <c r="T21" t="s">
        <v>12</v>
      </c>
      <c r="V21" s="5" t="s">
        <v>150</v>
      </c>
    </row>
    <row r="22" spans="1:22" ht="15.75" x14ac:dyDescent="0.25">
      <c r="A22" s="2" t="s">
        <v>95</v>
      </c>
      <c r="B22" t="s">
        <v>14</v>
      </c>
      <c r="C22" s="3">
        <v>128</v>
      </c>
      <c r="D22" t="s">
        <v>15</v>
      </c>
      <c r="E22" t="s">
        <v>100</v>
      </c>
      <c r="F22" s="5" t="s">
        <v>133</v>
      </c>
      <c r="I22" s="2" t="s">
        <v>196</v>
      </c>
      <c r="J22" t="s">
        <v>11</v>
      </c>
      <c r="K22" s="3">
        <v>8</v>
      </c>
      <c r="L22" t="s">
        <v>12</v>
      </c>
      <c r="M22" t="s">
        <v>100</v>
      </c>
      <c r="N22" s="5" t="s">
        <v>197</v>
      </c>
      <c r="Q22" t="s">
        <v>242</v>
      </c>
      <c r="R22" t="s">
        <v>11</v>
      </c>
      <c r="S22" s="3">
        <v>8</v>
      </c>
      <c r="T22" t="s">
        <v>12</v>
      </c>
      <c r="V22" s="5" t="s">
        <v>247</v>
      </c>
    </row>
    <row r="23" spans="1:22" ht="15.75" x14ac:dyDescent="0.25">
      <c r="A23" s="2" t="s">
        <v>96</v>
      </c>
      <c r="B23" t="s">
        <v>14</v>
      </c>
      <c r="C23" s="3">
        <v>128</v>
      </c>
      <c r="D23" t="s">
        <v>15</v>
      </c>
      <c r="E23" t="s">
        <v>100</v>
      </c>
      <c r="F23" s="5" t="s">
        <v>135</v>
      </c>
      <c r="I23" s="2" t="s">
        <v>132</v>
      </c>
      <c r="J23" t="s">
        <v>14</v>
      </c>
      <c r="K23" s="3">
        <v>128</v>
      </c>
      <c r="L23" t="s">
        <v>12</v>
      </c>
      <c r="M23" t="s">
        <v>105</v>
      </c>
      <c r="N23" s="5">
        <v>9</v>
      </c>
      <c r="Q23" t="s">
        <v>243</v>
      </c>
      <c r="R23" t="s">
        <v>14</v>
      </c>
      <c r="S23" s="3">
        <v>16</v>
      </c>
      <c r="T23" t="s">
        <v>4</v>
      </c>
      <c r="V23" s="5" t="s">
        <v>139</v>
      </c>
    </row>
    <row r="24" spans="1:22" ht="15.75" x14ac:dyDescent="0.25">
      <c r="A24" s="2" t="s">
        <v>97</v>
      </c>
      <c r="B24" t="s">
        <v>14</v>
      </c>
      <c r="C24" s="3">
        <v>128</v>
      </c>
      <c r="D24" t="s">
        <v>15</v>
      </c>
      <c r="E24" t="s">
        <v>100</v>
      </c>
      <c r="F24" s="5" t="s">
        <v>139</v>
      </c>
      <c r="I24" s="2" t="s">
        <v>175</v>
      </c>
      <c r="J24" t="s">
        <v>17</v>
      </c>
      <c r="K24" s="3">
        <v>1</v>
      </c>
      <c r="L24" t="s">
        <v>4</v>
      </c>
      <c r="M24" t="s">
        <v>101</v>
      </c>
      <c r="N24" s="5" t="s">
        <v>176</v>
      </c>
      <c r="Q24" t="s">
        <v>244</v>
      </c>
      <c r="R24" t="s">
        <v>11</v>
      </c>
      <c r="S24" s="3">
        <v>8</v>
      </c>
      <c r="T24" t="s">
        <v>12</v>
      </c>
      <c r="V24" s="5" t="s">
        <v>165</v>
      </c>
    </row>
    <row r="25" spans="1:22" ht="15.75" x14ac:dyDescent="0.25">
      <c r="A25" s="2" t="s">
        <v>98</v>
      </c>
      <c r="B25" t="s">
        <v>14</v>
      </c>
      <c r="C25" s="3">
        <v>128</v>
      </c>
      <c r="D25" t="s">
        <v>15</v>
      </c>
      <c r="E25" t="s">
        <v>100</v>
      </c>
      <c r="F25" s="5" t="s">
        <v>137</v>
      </c>
      <c r="I25" s="2" t="s">
        <v>177</v>
      </c>
      <c r="J25" t="s">
        <v>14</v>
      </c>
      <c r="K25" s="3">
        <v>16</v>
      </c>
      <c r="L25" t="s">
        <v>4</v>
      </c>
      <c r="M25" t="s">
        <v>101</v>
      </c>
      <c r="N25" s="5" t="s">
        <v>147</v>
      </c>
      <c r="Q25" t="s">
        <v>116</v>
      </c>
      <c r="R25" t="s">
        <v>11</v>
      </c>
      <c r="S25" s="3">
        <v>8</v>
      </c>
      <c r="T25" t="s">
        <v>12</v>
      </c>
      <c r="V25" s="5" t="s">
        <v>165</v>
      </c>
    </row>
    <row r="26" spans="1:22" ht="15.75" x14ac:dyDescent="0.25">
      <c r="A26" s="2" t="s">
        <v>23</v>
      </c>
      <c r="B26" t="s">
        <v>9</v>
      </c>
      <c r="C26" s="3">
        <v>4</v>
      </c>
      <c r="D26" t="s">
        <v>12</v>
      </c>
      <c r="E26" t="s">
        <v>100</v>
      </c>
      <c r="F26" s="5" t="s">
        <v>159</v>
      </c>
      <c r="I26" s="2" t="s">
        <v>63</v>
      </c>
      <c r="J26" t="s">
        <v>14</v>
      </c>
      <c r="K26" s="3">
        <v>16</v>
      </c>
      <c r="L26" t="s">
        <v>4</v>
      </c>
      <c r="M26" t="s">
        <v>100</v>
      </c>
      <c r="N26" s="5" t="s">
        <v>186</v>
      </c>
      <c r="Q26" t="s">
        <v>245</v>
      </c>
      <c r="R26" t="s">
        <v>14</v>
      </c>
      <c r="S26" s="3">
        <v>128</v>
      </c>
      <c r="T26" t="s">
        <v>12</v>
      </c>
      <c r="V26" s="5" t="s">
        <v>249</v>
      </c>
    </row>
    <row r="27" spans="1:22" ht="15.75" x14ac:dyDescent="0.25">
      <c r="A27" s="2" t="s">
        <v>25</v>
      </c>
      <c r="B27" t="s">
        <v>9</v>
      </c>
      <c r="C27" s="3">
        <v>4</v>
      </c>
      <c r="D27" t="s">
        <v>12</v>
      </c>
      <c r="E27" t="s">
        <v>100</v>
      </c>
      <c r="F27" s="5" t="s">
        <v>159</v>
      </c>
      <c r="I27" s="2" t="s">
        <v>26</v>
      </c>
      <c r="J27" t="s">
        <v>14</v>
      </c>
      <c r="K27" s="3">
        <v>128</v>
      </c>
      <c r="L27" t="s">
        <v>12</v>
      </c>
      <c r="M27" t="s">
        <v>101</v>
      </c>
      <c r="N27" s="5" t="s">
        <v>149</v>
      </c>
      <c r="Q27" t="s">
        <v>246</v>
      </c>
      <c r="R27" t="s">
        <v>11</v>
      </c>
      <c r="S27" s="3">
        <v>8</v>
      </c>
      <c r="T27" t="s">
        <v>12</v>
      </c>
      <c r="V27" s="5" t="s">
        <v>248</v>
      </c>
    </row>
    <row r="28" spans="1:22" ht="15.75" x14ac:dyDescent="0.25">
      <c r="A28" s="2" t="s">
        <v>26</v>
      </c>
      <c r="B28" t="s">
        <v>14</v>
      </c>
      <c r="C28" s="3">
        <v>128</v>
      </c>
      <c r="D28" t="s">
        <v>12</v>
      </c>
      <c r="E28" t="s">
        <v>101</v>
      </c>
      <c r="F28" s="5" t="s">
        <v>149</v>
      </c>
      <c r="I28" s="2" t="s">
        <v>198</v>
      </c>
      <c r="J28" t="s">
        <v>11</v>
      </c>
      <c r="K28" s="3">
        <v>8</v>
      </c>
      <c r="L28" t="s">
        <v>12</v>
      </c>
      <c r="M28" t="s">
        <v>100</v>
      </c>
      <c r="N28" s="5" t="s">
        <v>133</v>
      </c>
    </row>
    <row r="29" spans="1:22" ht="15.75" x14ac:dyDescent="0.25">
      <c r="A29" s="2" t="s">
        <v>99</v>
      </c>
      <c r="B29" t="s">
        <v>14</v>
      </c>
      <c r="C29" s="3">
        <v>128</v>
      </c>
      <c r="D29" t="s">
        <v>15</v>
      </c>
      <c r="E29" t="s">
        <v>100</v>
      </c>
      <c r="F29" s="5" t="s">
        <v>137</v>
      </c>
      <c r="I29" s="2" t="s">
        <v>178</v>
      </c>
      <c r="J29" t="s">
        <v>11</v>
      </c>
      <c r="K29" s="3">
        <v>8</v>
      </c>
      <c r="L29" t="s">
        <v>12</v>
      </c>
      <c r="M29" t="s">
        <v>101</v>
      </c>
      <c r="N29" s="5" t="s">
        <v>151</v>
      </c>
    </row>
    <row r="30" spans="1:22" ht="15.75" x14ac:dyDescent="0.25">
      <c r="A30" s="2" t="s">
        <v>83</v>
      </c>
      <c r="B30" t="s">
        <v>9</v>
      </c>
      <c r="C30" s="3">
        <v>4</v>
      </c>
      <c r="D30" t="s">
        <v>12</v>
      </c>
      <c r="E30" t="s">
        <v>101</v>
      </c>
      <c r="F30" s="5" t="s">
        <v>147</v>
      </c>
      <c r="I30" s="2" t="s">
        <v>84</v>
      </c>
      <c r="J30" t="s">
        <v>14</v>
      </c>
      <c r="K30" s="3">
        <v>16</v>
      </c>
      <c r="L30" t="s">
        <v>4</v>
      </c>
      <c r="M30" t="s">
        <v>101</v>
      </c>
      <c r="N30" s="5" t="s">
        <v>151</v>
      </c>
    </row>
    <row r="31" spans="1:22" ht="15.75" x14ac:dyDescent="0.25">
      <c r="A31" s="2" t="s">
        <v>27</v>
      </c>
      <c r="B31" t="s">
        <v>11</v>
      </c>
      <c r="C31" s="3">
        <v>8</v>
      </c>
      <c r="D31" t="s">
        <v>12</v>
      </c>
      <c r="E31" t="s">
        <v>101</v>
      </c>
      <c r="F31" s="5" t="s">
        <v>150</v>
      </c>
      <c r="I31" s="2" t="s">
        <v>179</v>
      </c>
      <c r="J31" t="s">
        <v>11</v>
      </c>
      <c r="K31" s="3">
        <v>8</v>
      </c>
      <c r="L31" t="s">
        <v>12</v>
      </c>
      <c r="M31" t="s">
        <v>101</v>
      </c>
      <c r="N31" s="5" t="s">
        <v>150</v>
      </c>
    </row>
    <row r="32" spans="1:22" ht="15.75" x14ac:dyDescent="0.25">
      <c r="A32" s="2" t="s">
        <v>84</v>
      </c>
      <c r="B32" t="s">
        <v>14</v>
      </c>
      <c r="C32" s="3">
        <v>128</v>
      </c>
      <c r="D32" t="s">
        <v>12</v>
      </c>
      <c r="E32" t="s">
        <v>101</v>
      </c>
      <c r="F32" s="5" t="s">
        <v>151</v>
      </c>
      <c r="I32" s="2" t="s">
        <v>180</v>
      </c>
      <c r="J32" t="s">
        <v>14</v>
      </c>
      <c r="K32" s="3">
        <v>128</v>
      </c>
      <c r="L32" t="s">
        <v>12</v>
      </c>
      <c r="M32" t="s">
        <v>101</v>
      </c>
      <c r="N32" s="5" t="s">
        <v>152</v>
      </c>
    </row>
    <row r="33" spans="1:14" ht="15.75" x14ac:dyDescent="0.25">
      <c r="A33" s="2" t="s">
        <v>102</v>
      </c>
      <c r="B33" t="s">
        <v>9</v>
      </c>
      <c r="C33" s="3">
        <v>4</v>
      </c>
      <c r="D33" t="s">
        <v>12</v>
      </c>
      <c r="E33" t="s">
        <v>100</v>
      </c>
      <c r="F33" s="5" t="s">
        <v>160</v>
      </c>
      <c r="I33" s="2" t="s">
        <v>199</v>
      </c>
      <c r="J33" t="s">
        <v>14</v>
      </c>
      <c r="K33" s="3">
        <v>128</v>
      </c>
      <c r="L33" t="s">
        <v>12</v>
      </c>
      <c r="M33" t="s">
        <v>100</v>
      </c>
      <c r="N33" s="5" t="s">
        <v>200</v>
      </c>
    </row>
    <row r="34" spans="1:14" ht="15.75" x14ac:dyDescent="0.25">
      <c r="A34" s="2" t="s">
        <v>85</v>
      </c>
      <c r="B34" t="s">
        <v>14</v>
      </c>
      <c r="C34" s="3">
        <v>1</v>
      </c>
      <c r="D34" t="s">
        <v>15</v>
      </c>
      <c r="E34" t="s">
        <v>101</v>
      </c>
      <c r="F34" s="5" t="s">
        <v>151</v>
      </c>
      <c r="I34" s="2" t="s">
        <v>201</v>
      </c>
      <c r="J34" t="s">
        <v>14</v>
      </c>
      <c r="K34" s="3">
        <v>16</v>
      </c>
      <c r="L34" t="s">
        <v>4</v>
      </c>
      <c r="M34" t="s">
        <v>100</v>
      </c>
      <c r="N34" s="5" t="s">
        <v>186</v>
      </c>
    </row>
    <row r="35" spans="1:14" ht="15.75" x14ac:dyDescent="0.25">
      <c r="A35" s="2" t="s">
        <v>28</v>
      </c>
      <c r="B35" t="s">
        <v>14</v>
      </c>
      <c r="C35" s="3">
        <v>128</v>
      </c>
      <c r="D35" t="s">
        <v>12</v>
      </c>
      <c r="E35" t="s">
        <v>101</v>
      </c>
      <c r="F35" s="5" t="s">
        <v>152</v>
      </c>
      <c r="I35" s="2" t="s">
        <v>202</v>
      </c>
      <c r="J35" t="s">
        <v>14</v>
      </c>
      <c r="K35" s="3">
        <v>16</v>
      </c>
      <c r="L35" t="s">
        <v>4</v>
      </c>
      <c r="M35" t="s">
        <v>100</v>
      </c>
      <c r="N35" s="5" t="s">
        <v>143</v>
      </c>
    </row>
    <row r="36" spans="1:14" ht="15.75" x14ac:dyDescent="0.25">
      <c r="A36" s="2" t="s">
        <v>103</v>
      </c>
      <c r="B36" t="s">
        <v>9</v>
      </c>
      <c r="C36" s="3">
        <v>4</v>
      </c>
      <c r="D36" t="s">
        <v>12</v>
      </c>
      <c r="E36" t="s">
        <v>100</v>
      </c>
      <c r="F36" s="5" t="s">
        <v>161</v>
      </c>
      <c r="I36" s="2" t="s">
        <v>181</v>
      </c>
      <c r="J36" t="s">
        <v>11</v>
      </c>
      <c r="K36" s="3">
        <v>8</v>
      </c>
      <c r="L36" t="s">
        <v>12</v>
      </c>
      <c r="M36" t="s">
        <v>101</v>
      </c>
      <c r="N36" s="5" t="s">
        <v>150</v>
      </c>
    </row>
    <row r="37" spans="1:14" ht="15.75" x14ac:dyDescent="0.25">
      <c r="A37" s="2" t="s">
        <v>86</v>
      </c>
      <c r="B37" t="s">
        <v>14</v>
      </c>
      <c r="C37" s="3">
        <v>128</v>
      </c>
      <c r="D37" t="s">
        <v>12</v>
      </c>
      <c r="E37" t="s">
        <v>101</v>
      </c>
      <c r="F37" s="5" t="s">
        <v>152</v>
      </c>
      <c r="I37" s="2" t="s">
        <v>203</v>
      </c>
      <c r="J37" t="s">
        <v>14</v>
      </c>
      <c r="K37" s="3">
        <v>16</v>
      </c>
      <c r="L37" t="s">
        <v>4</v>
      </c>
      <c r="M37" t="s">
        <v>100</v>
      </c>
      <c r="N37" s="5" t="s">
        <v>204</v>
      </c>
    </row>
    <row r="38" spans="1:14" ht="15.75" x14ac:dyDescent="0.25">
      <c r="A38" s="2" t="s">
        <v>29</v>
      </c>
      <c r="B38" t="s">
        <v>14</v>
      </c>
      <c r="C38" s="3">
        <v>128</v>
      </c>
      <c r="D38" t="s">
        <v>12</v>
      </c>
      <c r="E38" t="s">
        <v>100</v>
      </c>
      <c r="F38" s="5" t="s">
        <v>133</v>
      </c>
      <c r="I38" s="2" t="s">
        <v>205</v>
      </c>
      <c r="J38" t="s">
        <v>14</v>
      </c>
      <c r="K38" s="3">
        <v>16</v>
      </c>
      <c r="L38" t="s">
        <v>4</v>
      </c>
      <c r="M38" t="s">
        <v>100</v>
      </c>
      <c r="N38" s="5" t="s">
        <v>186</v>
      </c>
    </row>
    <row r="39" spans="1:14" ht="15.75" x14ac:dyDescent="0.25">
      <c r="A39" s="2" t="s">
        <v>30</v>
      </c>
      <c r="B39" t="s">
        <v>11</v>
      </c>
      <c r="C39" s="3">
        <v>8</v>
      </c>
      <c r="D39" t="s">
        <v>12</v>
      </c>
      <c r="E39" t="s">
        <v>101</v>
      </c>
      <c r="F39" s="5" t="s">
        <v>153</v>
      </c>
      <c r="I39" s="2" t="s">
        <v>182</v>
      </c>
      <c r="J39" t="s">
        <v>14</v>
      </c>
      <c r="K39" s="3">
        <v>128</v>
      </c>
      <c r="L39" t="s">
        <v>12</v>
      </c>
      <c r="M39" t="s">
        <v>101</v>
      </c>
      <c r="N39" s="5" t="s">
        <v>152</v>
      </c>
    </row>
    <row r="40" spans="1:14" ht="15.75" x14ac:dyDescent="0.25">
      <c r="A40" s="2" t="s">
        <v>104</v>
      </c>
      <c r="B40" t="s">
        <v>9</v>
      </c>
      <c r="C40" s="3">
        <v>4</v>
      </c>
      <c r="D40" t="s">
        <v>12</v>
      </c>
      <c r="E40" t="s">
        <v>100</v>
      </c>
      <c r="F40" s="5" t="s">
        <v>162</v>
      </c>
      <c r="I40" s="2" t="s">
        <v>29</v>
      </c>
      <c r="J40" t="s">
        <v>14</v>
      </c>
      <c r="K40" s="3">
        <v>128</v>
      </c>
      <c r="L40" t="s">
        <v>12</v>
      </c>
      <c r="M40" t="s">
        <v>100</v>
      </c>
      <c r="N40" s="5" t="s">
        <v>133</v>
      </c>
    </row>
    <row r="41" spans="1:14" ht="15.75" x14ac:dyDescent="0.25">
      <c r="A41" s="2" t="s">
        <v>31</v>
      </c>
      <c r="B41" t="s">
        <v>14</v>
      </c>
      <c r="C41" s="3">
        <v>1</v>
      </c>
      <c r="D41" t="s">
        <v>12</v>
      </c>
      <c r="E41" t="s">
        <v>101</v>
      </c>
      <c r="F41" s="5" t="s">
        <v>149</v>
      </c>
      <c r="I41" s="2" t="s">
        <v>30</v>
      </c>
      <c r="J41" t="s">
        <v>11</v>
      </c>
      <c r="K41" s="3">
        <v>8</v>
      </c>
      <c r="L41" t="s">
        <v>12</v>
      </c>
      <c r="M41" t="s">
        <v>101</v>
      </c>
      <c r="N41" s="5" t="s">
        <v>153</v>
      </c>
    </row>
    <row r="42" spans="1:14" ht="15.75" x14ac:dyDescent="0.25">
      <c r="A42" s="2"/>
      <c r="C42" s="3"/>
      <c r="I42" s="2" t="s">
        <v>206</v>
      </c>
      <c r="J42" t="s">
        <v>14</v>
      </c>
      <c r="K42" s="3">
        <v>128</v>
      </c>
      <c r="L42" t="s">
        <v>12</v>
      </c>
      <c r="M42" t="s">
        <v>100</v>
      </c>
      <c r="N42" s="5" t="s">
        <v>133</v>
      </c>
    </row>
    <row r="43" spans="1:14" ht="15.75" x14ac:dyDescent="0.25">
      <c r="A43" t="s">
        <v>2</v>
      </c>
      <c r="C43">
        <v>1</v>
      </c>
      <c r="D43" t="s">
        <v>2</v>
      </c>
      <c r="E43" t="s">
        <v>105</v>
      </c>
      <c r="I43" s="2" t="s">
        <v>225</v>
      </c>
      <c r="J43" t="s">
        <v>14</v>
      </c>
      <c r="K43">
        <v>128</v>
      </c>
      <c r="L43" t="s">
        <v>12</v>
      </c>
      <c r="M43" t="s">
        <v>101</v>
      </c>
      <c r="N43" s="5" t="s">
        <v>165</v>
      </c>
    </row>
    <row r="44" spans="1:14" ht="15.75" x14ac:dyDescent="0.25">
      <c r="A44" s="2" t="s">
        <v>10</v>
      </c>
      <c r="B44" t="s">
        <v>11</v>
      </c>
      <c r="C44" s="3">
        <v>8</v>
      </c>
      <c r="D44" t="s">
        <v>12</v>
      </c>
      <c r="E44" t="s">
        <v>105</v>
      </c>
      <c r="F44" s="5">
        <v>4</v>
      </c>
      <c r="I44" s="2" t="s">
        <v>31</v>
      </c>
      <c r="J44" t="s">
        <v>14</v>
      </c>
      <c r="K44" s="3">
        <v>1</v>
      </c>
      <c r="L44" t="s">
        <v>12</v>
      </c>
      <c r="M44" t="s">
        <v>101</v>
      </c>
      <c r="N44" s="5" t="s">
        <v>149</v>
      </c>
    </row>
    <row r="45" spans="1:14" ht="15.75" x14ac:dyDescent="0.25">
      <c r="A45" s="2" t="s">
        <v>106</v>
      </c>
      <c r="B45" t="s">
        <v>14</v>
      </c>
      <c r="C45" s="3">
        <v>1</v>
      </c>
      <c r="D45" t="s">
        <v>15</v>
      </c>
      <c r="E45" t="s">
        <v>105</v>
      </c>
      <c r="F45" s="5">
        <v>2</v>
      </c>
      <c r="I45" s="2" t="s">
        <v>207</v>
      </c>
      <c r="J45" t="s">
        <v>14</v>
      </c>
      <c r="K45" s="3">
        <v>128</v>
      </c>
      <c r="L45" t="s">
        <v>12</v>
      </c>
      <c r="M45" t="s">
        <v>100</v>
      </c>
      <c r="N45" s="5" t="s">
        <v>195</v>
      </c>
    </row>
    <row r="46" spans="1:14" ht="15.75" x14ac:dyDescent="0.25">
      <c r="A46" s="2" t="s">
        <v>107</v>
      </c>
      <c r="B46" t="s">
        <v>14</v>
      </c>
      <c r="C46" s="3">
        <v>1</v>
      </c>
      <c r="D46" t="s">
        <v>15</v>
      </c>
      <c r="E46" t="s">
        <v>105</v>
      </c>
      <c r="F46" s="5">
        <v>14</v>
      </c>
    </row>
    <row r="47" spans="1:14" ht="15.75" x14ac:dyDescent="0.25">
      <c r="A47" s="2" t="s">
        <v>90</v>
      </c>
      <c r="B47" t="s">
        <v>11</v>
      </c>
      <c r="C47" s="3">
        <v>8</v>
      </c>
      <c r="D47" t="s">
        <v>12</v>
      </c>
      <c r="E47" t="s">
        <v>131</v>
      </c>
      <c r="F47" s="5" t="s">
        <v>134</v>
      </c>
      <c r="I47" t="s">
        <v>2</v>
      </c>
      <c r="K47">
        <v>1</v>
      </c>
      <c r="L47" t="s">
        <v>2</v>
      </c>
      <c r="M47" t="s">
        <v>105</v>
      </c>
      <c r="N47" s="5"/>
    </row>
    <row r="48" spans="1:14" ht="15.75" x14ac:dyDescent="0.25">
      <c r="A48" s="2" t="s">
        <v>89</v>
      </c>
      <c r="B48" t="s">
        <v>14</v>
      </c>
      <c r="C48" s="3">
        <v>128</v>
      </c>
      <c r="D48" t="s">
        <v>12</v>
      </c>
      <c r="E48" t="s">
        <v>131</v>
      </c>
      <c r="F48" s="5" t="s">
        <v>156</v>
      </c>
      <c r="I48" s="2" t="s">
        <v>89</v>
      </c>
      <c r="J48" t="s">
        <v>14</v>
      </c>
      <c r="K48">
        <v>128</v>
      </c>
      <c r="L48" t="s">
        <v>12</v>
      </c>
      <c r="M48" t="s">
        <v>105</v>
      </c>
      <c r="N48" s="5" t="s">
        <v>133</v>
      </c>
    </row>
    <row r="49" spans="1:14" ht="15.75" x14ac:dyDescent="0.25">
      <c r="A49" s="2" t="s">
        <v>16</v>
      </c>
      <c r="B49" t="s">
        <v>14</v>
      </c>
      <c r="C49" s="3">
        <v>128</v>
      </c>
      <c r="D49" t="s">
        <v>15</v>
      </c>
      <c r="E49" t="s">
        <v>131</v>
      </c>
      <c r="F49" s="5" t="s">
        <v>135</v>
      </c>
      <c r="I49" s="2" t="s">
        <v>208</v>
      </c>
      <c r="J49" t="s">
        <v>14</v>
      </c>
      <c r="K49">
        <v>128</v>
      </c>
      <c r="L49" t="s">
        <v>12</v>
      </c>
      <c r="M49" t="s">
        <v>105</v>
      </c>
      <c r="N49" s="5">
        <v>1</v>
      </c>
    </row>
    <row r="50" spans="1:14" ht="15.75" x14ac:dyDescent="0.25">
      <c r="A50" s="2" t="s">
        <v>13</v>
      </c>
      <c r="B50" t="s">
        <v>14</v>
      </c>
      <c r="C50" s="3">
        <v>128</v>
      </c>
      <c r="D50" t="s">
        <v>15</v>
      </c>
      <c r="E50" t="s">
        <v>105</v>
      </c>
      <c r="F50" s="5">
        <v>27</v>
      </c>
      <c r="I50" s="2" t="s">
        <v>109</v>
      </c>
      <c r="J50" t="s">
        <v>11</v>
      </c>
      <c r="K50">
        <v>8</v>
      </c>
      <c r="L50" t="s">
        <v>12</v>
      </c>
      <c r="M50" t="s">
        <v>105</v>
      </c>
      <c r="N50" s="5">
        <v>6</v>
      </c>
    </row>
    <row r="51" spans="1:14" ht="15.75" x14ac:dyDescent="0.25">
      <c r="A51" s="2" t="s">
        <v>78</v>
      </c>
      <c r="B51" t="s">
        <v>17</v>
      </c>
      <c r="C51" s="3">
        <v>1</v>
      </c>
      <c r="D51" t="s">
        <v>4</v>
      </c>
      <c r="E51" t="s">
        <v>105</v>
      </c>
      <c r="F51" s="5">
        <v>5</v>
      </c>
      <c r="I51" s="2" t="s">
        <v>18</v>
      </c>
      <c r="J51" t="s">
        <v>14</v>
      </c>
      <c r="K51">
        <v>16</v>
      </c>
      <c r="L51" t="s">
        <v>4</v>
      </c>
      <c r="M51" t="s">
        <v>105</v>
      </c>
      <c r="N51" s="5">
        <v>14</v>
      </c>
    </row>
    <row r="52" spans="1:14" ht="15.75" x14ac:dyDescent="0.25">
      <c r="A52" s="2" t="s">
        <v>77</v>
      </c>
      <c r="B52" t="s">
        <v>9</v>
      </c>
      <c r="C52" s="3">
        <v>4</v>
      </c>
      <c r="D52" t="s">
        <v>12</v>
      </c>
      <c r="E52" t="s">
        <v>105</v>
      </c>
      <c r="F52" s="5">
        <v>5</v>
      </c>
      <c r="I52" s="2" t="s">
        <v>223</v>
      </c>
      <c r="J52" t="s">
        <v>9</v>
      </c>
      <c r="K52">
        <v>4</v>
      </c>
      <c r="L52" t="s">
        <v>12</v>
      </c>
      <c r="M52" t="s">
        <v>105</v>
      </c>
      <c r="N52" s="5" t="s">
        <v>227</v>
      </c>
    </row>
    <row r="53" spans="1:14" ht="15.75" x14ac:dyDescent="0.25">
      <c r="A53" s="2" t="s">
        <v>108</v>
      </c>
      <c r="B53" t="s">
        <v>11</v>
      </c>
      <c r="C53" s="3">
        <v>8</v>
      </c>
      <c r="D53" t="s">
        <v>12</v>
      </c>
      <c r="E53" t="s">
        <v>105</v>
      </c>
      <c r="F53" s="5">
        <v>4</v>
      </c>
      <c r="I53" s="2" t="s">
        <v>209</v>
      </c>
      <c r="J53" t="s">
        <v>14</v>
      </c>
      <c r="K53">
        <v>16</v>
      </c>
      <c r="L53" t="s">
        <v>4</v>
      </c>
      <c r="M53" t="s">
        <v>105</v>
      </c>
      <c r="N53" s="5">
        <v>2</v>
      </c>
    </row>
    <row r="54" spans="1:14" ht="15.75" x14ac:dyDescent="0.25">
      <c r="A54" s="2" t="s">
        <v>109</v>
      </c>
      <c r="B54" t="s">
        <v>11</v>
      </c>
      <c r="C54" s="3">
        <v>8</v>
      </c>
      <c r="D54" t="s">
        <v>12</v>
      </c>
      <c r="E54" t="s">
        <v>105</v>
      </c>
      <c r="F54" s="5">
        <v>6</v>
      </c>
      <c r="I54" s="2" t="s">
        <v>210</v>
      </c>
      <c r="J54" t="s">
        <v>14</v>
      </c>
      <c r="K54">
        <v>128</v>
      </c>
      <c r="L54" t="s">
        <v>12</v>
      </c>
      <c r="M54" t="s">
        <v>105</v>
      </c>
      <c r="N54" s="5">
        <v>14</v>
      </c>
    </row>
    <row r="55" spans="1:14" ht="15.75" x14ac:dyDescent="0.25">
      <c r="A55" s="2" t="s">
        <v>110</v>
      </c>
      <c r="B55" t="s">
        <v>14</v>
      </c>
      <c r="C55" s="3">
        <v>1</v>
      </c>
      <c r="D55" t="s">
        <v>15</v>
      </c>
      <c r="E55" t="s">
        <v>105</v>
      </c>
      <c r="F55" s="5">
        <v>2</v>
      </c>
      <c r="I55" s="2" t="s">
        <v>224</v>
      </c>
      <c r="J55" t="s">
        <v>14</v>
      </c>
      <c r="K55">
        <v>128</v>
      </c>
      <c r="L55" t="s">
        <v>12</v>
      </c>
      <c r="M55" t="s">
        <v>105</v>
      </c>
      <c r="N55" s="5" t="s">
        <v>165</v>
      </c>
    </row>
    <row r="56" spans="1:14" ht="15.75" x14ac:dyDescent="0.25">
      <c r="A56" s="2" t="s">
        <v>111</v>
      </c>
      <c r="B56" t="s">
        <v>11</v>
      </c>
      <c r="C56" s="3">
        <v>8</v>
      </c>
      <c r="D56" t="s">
        <v>12</v>
      </c>
      <c r="E56" t="s">
        <v>105</v>
      </c>
      <c r="F56" s="5">
        <v>6</v>
      </c>
      <c r="I56" s="2" t="s">
        <v>174</v>
      </c>
      <c r="J56" t="s">
        <v>14</v>
      </c>
      <c r="K56" s="3">
        <v>16</v>
      </c>
      <c r="L56" t="s">
        <v>4</v>
      </c>
      <c r="M56" t="s">
        <v>105</v>
      </c>
      <c r="N56" s="5">
        <v>2</v>
      </c>
    </row>
    <row r="57" spans="1:14" ht="15.75" x14ac:dyDescent="0.25">
      <c r="A57" s="2" t="s">
        <v>18</v>
      </c>
      <c r="B57" t="s">
        <v>14</v>
      </c>
      <c r="C57" s="3">
        <v>128</v>
      </c>
      <c r="D57" t="s">
        <v>19</v>
      </c>
      <c r="E57" t="s">
        <v>105</v>
      </c>
      <c r="F57" s="5">
        <v>14</v>
      </c>
      <c r="I57" s="2" t="s">
        <v>211</v>
      </c>
      <c r="J57" t="s">
        <v>11</v>
      </c>
      <c r="K57">
        <v>8</v>
      </c>
      <c r="L57" t="s">
        <v>12</v>
      </c>
      <c r="M57" t="s">
        <v>105</v>
      </c>
      <c r="N57" s="5">
        <v>14</v>
      </c>
    </row>
    <row r="58" spans="1:14" ht="15.75" x14ac:dyDescent="0.25">
      <c r="A58" s="2" t="s">
        <v>81</v>
      </c>
      <c r="B58" t="s">
        <v>14</v>
      </c>
      <c r="C58" s="3">
        <v>128</v>
      </c>
      <c r="D58" t="s">
        <v>12</v>
      </c>
      <c r="E58" t="s">
        <v>105</v>
      </c>
      <c r="F58" s="5">
        <v>27</v>
      </c>
      <c r="I58" s="2" t="s">
        <v>196</v>
      </c>
      <c r="J58" t="s">
        <v>11</v>
      </c>
      <c r="K58">
        <v>8</v>
      </c>
      <c r="L58" t="s">
        <v>12</v>
      </c>
      <c r="M58" t="s">
        <v>105</v>
      </c>
      <c r="N58" s="5" t="s">
        <v>197</v>
      </c>
    </row>
    <row r="59" spans="1:14" ht="15.75" x14ac:dyDescent="0.25">
      <c r="A59" s="2" t="s">
        <v>126</v>
      </c>
      <c r="B59" t="s">
        <v>11</v>
      </c>
      <c r="C59" s="3">
        <v>8</v>
      </c>
      <c r="D59" t="s">
        <v>12</v>
      </c>
      <c r="E59" t="s">
        <v>131</v>
      </c>
      <c r="F59" s="5" t="s">
        <v>140</v>
      </c>
      <c r="I59" s="2" t="s">
        <v>212</v>
      </c>
      <c r="J59" t="s">
        <v>14</v>
      </c>
      <c r="K59">
        <v>128</v>
      </c>
      <c r="L59" t="s">
        <v>12</v>
      </c>
      <c r="M59" t="s">
        <v>105</v>
      </c>
      <c r="N59" s="5">
        <v>1</v>
      </c>
    </row>
    <row r="60" spans="1:14" ht="15.75" x14ac:dyDescent="0.25">
      <c r="A60" s="2" t="s">
        <v>117</v>
      </c>
      <c r="B60" t="s">
        <v>14</v>
      </c>
      <c r="C60" s="3">
        <v>128</v>
      </c>
      <c r="D60" t="s">
        <v>12</v>
      </c>
      <c r="E60" t="s">
        <v>131</v>
      </c>
      <c r="F60" s="5" t="s">
        <v>136</v>
      </c>
      <c r="I60" s="2" t="s">
        <v>213</v>
      </c>
      <c r="J60" t="s">
        <v>11</v>
      </c>
      <c r="K60">
        <v>8</v>
      </c>
      <c r="L60" t="s">
        <v>12</v>
      </c>
      <c r="M60" t="s">
        <v>105</v>
      </c>
      <c r="N60" s="5">
        <v>1</v>
      </c>
    </row>
    <row r="61" spans="1:14" ht="15.75" x14ac:dyDescent="0.25">
      <c r="A61" s="2" t="s">
        <v>20</v>
      </c>
      <c r="B61" t="s">
        <v>14</v>
      </c>
      <c r="C61" s="3">
        <v>1</v>
      </c>
      <c r="D61" t="s">
        <v>15</v>
      </c>
      <c r="E61" t="s">
        <v>131</v>
      </c>
      <c r="F61" s="5" t="s">
        <v>137</v>
      </c>
      <c r="I61" s="2" t="s">
        <v>132</v>
      </c>
      <c r="J61" t="s">
        <v>14</v>
      </c>
      <c r="K61" s="3">
        <v>128</v>
      </c>
      <c r="L61" t="s">
        <v>12</v>
      </c>
      <c r="M61" t="s">
        <v>105</v>
      </c>
      <c r="N61" s="5">
        <v>9</v>
      </c>
    </row>
    <row r="62" spans="1:14" ht="15.75" x14ac:dyDescent="0.25">
      <c r="A62" s="2" t="s">
        <v>112</v>
      </c>
      <c r="B62" t="s">
        <v>14</v>
      </c>
      <c r="C62" s="3">
        <v>128</v>
      </c>
      <c r="D62" t="s">
        <v>12</v>
      </c>
      <c r="E62" t="s">
        <v>105</v>
      </c>
      <c r="F62" s="5">
        <v>4</v>
      </c>
      <c r="I62" s="2" t="s">
        <v>214</v>
      </c>
      <c r="J62" t="s">
        <v>14</v>
      </c>
      <c r="K62" s="3">
        <v>16</v>
      </c>
      <c r="L62" t="s">
        <v>4</v>
      </c>
      <c r="M62" t="s">
        <v>105</v>
      </c>
      <c r="N62" s="5">
        <v>2</v>
      </c>
    </row>
    <row r="63" spans="1:14" ht="15.75" x14ac:dyDescent="0.25">
      <c r="A63" s="2" t="s">
        <v>118</v>
      </c>
      <c r="B63" t="s">
        <v>14</v>
      </c>
      <c r="C63" s="3">
        <v>128</v>
      </c>
      <c r="D63" t="s">
        <v>12</v>
      </c>
      <c r="E63" t="s">
        <v>131</v>
      </c>
      <c r="F63" s="5" t="s">
        <v>138</v>
      </c>
      <c r="I63" s="2" t="s">
        <v>222</v>
      </c>
      <c r="J63" t="s">
        <v>14</v>
      </c>
      <c r="K63">
        <v>128</v>
      </c>
      <c r="L63" t="s">
        <v>12</v>
      </c>
      <c r="M63" t="s">
        <v>105</v>
      </c>
      <c r="N63" s="5" t="s">
        <v>226</v>
      </c>
    </row>
    <row r="64" spans="1:14" ht="15.75" x14ac:dyDescent="0.25">
      <c r="A64" s="2" t="s">
        <v>164</v>
      </c>
      <c r="B64" t="s">
        <v>11</v>
      </c>
      <c r="C64" s="3">
        <v>8</v>
      </c>
      <c r="D64" t="s">
        <v>12</v>
      </c>
      <c r="E64" t="s">
        <v>131</v>
      </c>
      <c r="F64" s="5" t="s">
        <v>166</v>
      </c>
      <c r="I64" s="2" t="s">
        <v>215</v>
      </c>
      <c r="J64" t="s">
        <v>14</v>
      </c>
      <c r="K64">
        <v>128</v>
      </c>
      <c r="L64" t="s">
        <v>12</v>
      </c>
      <c r="M64" t="s">
        <v>105</v>
      </c>
      <c r="N64" s="5" t="s">
        <v>200</v>
      </c>
    </row>
    <row r="65" spans="1:14" ht="15.75" x14ac:dyDescent="0.25">
      <c r="A65" s="2" t="s">
        <v>163</v>
      </c>
      <c r="B65" t="s">
        <v>11</v>
      </c>
      <c r="C65" s="3">
        <v>8</v>
      </c>
      <c r="D65" t="s">
        <v>12</v>
      </c>
      <c r="E65" t="s">
        <v>105</v>
      </c>
      <c r="F65" s="5" t="s">
        <v>165</v>
      </c>
      <c r="I65" s="2" t="s">
        <v>216</v>
      </c>
      <c r="J65" t="s">
        <v>14</v>
      </c>
      <c r="K65">
        <v>128</v>
      </c>
      <c r="L65" t="s">
        <v>12</v>
      </c>
      <c r="M65" t="s">
        <v>105</v>
      </c>
      <c r="N65" s="5">
        <v>14</v>
      </c>
    </row>
    <row r="66" spans="1:14" ht="15.75" x14ac:dyDescent="0.25">
      <c r="A66" s="2" t="s">
        <v>127</v>
      </c>
      <c r="B66" t="s">
        <v>9</v>
      </c>
      <c r="C66" s="3">
        <v>4</v>
      </c>
      <c r="D66" t="s">
        <v>12</v>
      </c>
      <c r="E66" t="s">
        <v>131</v>
      </c>
      <c r="F66" s="5" t="s">
        <v>141</v>
      </c>
      <c r="I66" s="2" t="s">
        <v>217</v>
      </c>
      <c r="J66" t="s">
        <v>14</v>
      </c>
      <c r="K66">
        <v>128</v>
      </c>
      <c r="L66" t="s">
        <v>12</v>
      </c>
      <c r="M66" t="s">
        <v>105</v>
      </c>
      <c r="N66" s="5">
        <v>1</v>
      </c>
    </row>
    <row r="67" spans="1:14" ht="15.75" x14ac:dyDescent="0.25">
      <c r="A67" s="2" t="s">
        <v>132</v>
      </c>
      <c r="B67" t="s">
        <v>14</v>
      </c>
      <c r="C67" s="3">
        <v>128</v>
      </c>
      <c r="D67" t="s">
        <v>12</v>
      </c>
      <c r="E67" t="s">
        <v>105</v>
      </c>
      <c r="F67" s="5">
        <v>9</v>
      </c>
      <c r="I67" s="2" t="s">
        <v>198</v>
      </c>
      <c r="J67" t="s">
        <v>11</v>
      </c>
      <c r="K67" s="3">
        <v>8</v>
      </c>
      <c r="L67" t="s">
        <v>12</v>
      </c>
      <c r="M67" t="s">
        <v>105</v>
      </c>
      <c r="N67" s="5" t="s">
        <v>133</v>
      </c>
    </row>
    <row r="68" spans="1:14" ht="15.75" x14ac:dyDescent="0.25">
      <c r="A68" s="2" t="s">
        <v>22</v>
      </c>
      <c r="B68" t="s">
        <v>11</v>
      </c>
      <c r="C68" s="3">
        <v>8</v>
      </c>
      <c r="D68" t="s">
        <v>12</v>
      </c>
      <c r="E68" t="s">
        <v>131</v>
      </c>
      <c r="F68" s="5" t="s">
        <v>142</v>
      </c>
      <c r="I68" s="2" t="s">
        <v>218</v>
      </c>
      <c r="J68" t="s">
        <v>14</v>
      </c>
      <c r="K68">
        <v>128</v>
      </c>
      <c r="L68" t="s">
        <v>12</v>
      </c>
      <c r="M68" t="s">
        <v>105</v>
      </c>
      <c r="N68" s="5">
        <v>2</v>
      </c>
    </row>
    <row r="69" spans="1:14" ht="15.75" x14ac:dyDescent="0.25">
      <c r="A69" s="2" t="s">
        <v>97</v>
      </c>
      <c r="B69" t="s">
        <v>14</v>
      </c>
      <c r="C69" s="3">
        <v>128</v>
      </c>
      <c r="D69" t="s">
        <v>12</v>
      </c>
      <c r="E69" t="s">
        <v>131</v>
      </c>
      <c r="F69" s="5" t="s">
        <v>139</v>
      </c>
      <c r="I69" s="2" t="s">
        <v>219</v>
      </c>
      <c r="J69" t="s">
        <v>14</v>
      </c>
      <c r="K69">
        <v>128</v>
      </c>
      <c r="L69" t="s">
        <v>12</v>
      </c>
      <c r="M69" t="s">
        <v>105</v>
      </c>
      <c r="N69" s="5">
        <v>2</v>
      </c>
    </row>
    <row r="70" spans="1:14" ht="15.75" x14ac:dyDescent="0.25">
      <c r="A70" s="2" t="s">
        <v>113</v>
      </c>
      <c r="B70" t="s">
        <v>14</v>
      </c>
      <c r="C70" s="3">
        <v>1</v>
      </c>
      <c r="D70" t="s">
        <v>15</v>
      </c>
      <c r="E70" t="s">
        <v>105</v>
      </c>
      <c r="F70" s="5">
        <v>27</v>
      </c>
      <c r="I70" s="2" t="s">
        <v>64</v>
      </c>
      <c r="J70" t="s">
        <v>11</v>
      </c>
      <c r="K70" s="3">
        <v>8</v>
      </c>
      <c r="L70" t="s">
        <v>12</v>
      </c>
      <c r="M70" t="s">
        <v>105</v>
      </c>
      <c r="N70" s="5">
        <v>14</v>
      </c>
    </row>
    <row r="71" spans="1:14" ht="15.75" x14ac:dyDescent="0.25">
      <c r="A71" s="2" t="s">
        <v>24</v>
      </c>
      <c r="B71" t="s">
        <v>14</v>
      </c>
      <c r="C71" s="3">
        <v>128</v>
      </c>
      <c r="D71" t="s">
        <v>12</v>
      </c>
      <c r="E71" t="s">
        <v>105</v>
      </c>
      <c r="F71" s="5">
        <v>10</v>
      </c>
      <c r="I71" s="2" t="s">
        <v>115</v>
      </c>
      <c r="J71" t="s">
        <v>14</v>
      </c>
      <c r="K71">
        <v>128</v>
      </c>
      <c r="L71" t="s">
        <v>12</v>
      </c>
      <c r="M71" t="s">
        <v>105</v>
      </c>
      <c r="N71" s="5">
        <v>14</v>
      </c>
    </row>
    <row r="72" spans="1:14" ht="15.75" x14ac:dyDescent="0.25">
      <c r="A72" s="2" t="s">
        <v>114</v>
      </c>
      <c r="B72" t="s">
        <v>14</v>
      </c>
      <c r="C72" s="3">
        <v>16</v>
      </c>
      <c r="D72" t="s">
        <v>4</v>
      </c>
      <c r="E72" t="s">
        <v>105</v>
      </c>
      <c r="F72" s="5">
        <v>2</v>
      </c>
      <c r="I72" s="2" t="s">
        <v>220</v>
      </c>
      <c r="J72" t="s">
        <v>14</v>
      </c>
      <c r="K72">
        <v>128</v>
      </c>
      <c r="L72" t="s">
        <v>12</v>
      </c>
      <c r="M72" t="s">
        <v>105</v>
      </c>
      <c r="N72" s="5">
        <v>1</v>
      </c>
    </row>
    <row r="73" spans="1:14" ht="15.75" x14ac:dyDescent="0.25">
      <c r="A73" s="2" t="s">
        <v>119</v>
      </c>
      <c r="B73" t="s">
        <v>14</v>
      </c>
      <c r="C73" s="3">
        <v>128</v>
      </c>
      <c r="D73" t="s">
        <v>12</v>
      </c>
      <c r="E73" t="s">
        <v>131</v>
      </c>
      <c r="F73" s="5" t="s">
        <v>137</v>
      </c>
      <c r="I73" s="2" t="s">
        <v>128</v>
      </c>
      <c r="J73" t="s">
        <v>11</v>
      </c>
      <c r="K73">
        <v>8</v>
      </c>
      <c r="L73" t="s">
        <v>12</v>
      </c>
      <c r="M73" t="s">
        <v>105</v>
      </c>
      <c r="N73" s="5" t="s">
        <v>144</v>
      </c>
    </row>
    <row r="74" spans="1:14" ht="15.75" x14ac:dyDescent="0.25">
      <c r="A74" s="2" t="s">
        <v>120</v>
      </c>
      <c r="B74" t="s">
        <v>14</v>
      </c>
      <c r="C74" s="3">
        <v>128</v>
      </c>
      <c r="D74" t="s">
        <v>12</v>
      </c>
      <c r="E74" t="s">
        <v>131</v>
      </c>
      <c r="F74" s="5" t="s">
        <v>143</v>
      </c>
      <c r="I74" s="2" t="s">
        <v>202</v>
      </c>
      <c r="J74" t="s">
        <v>14</v>
      </c>
      <c r="K74" s="3">
        <v>16</v>
      </c>
      <c r="L74" t="s">
        <v>4</v>
      </c>
      <c r="M74" t="s">
        <v>105</v>
      </c>
      <c r="N74" s="5" t="s">
        <v>143</v>
      </c>
    </row>
    <row r="75" spans="1:14" ht="15.75" x14ac:dyDescent="0.25">
      <c r="A75" s="2" t="s">
        <v>115</v>
      </c>
      <c r="B75" t="s">
        <v>14</v>
      </c>
      <c r="C75" s="3">
        <v>128</v>
      </c>
      <c r="D75" t="s">
        <v>12</v>
      </c>
      <c r="E75" t="s">
        <v>105</v>
      </c>
      <c r="F75" s="5">
        <v>14</v>
      </c>
      <c r="I75" s="2" t="s">
        <v>221</v>
      </c>
      <c r="J75" t="s">
        <v>11</v>
      </c>
      <c r="K75" s="3">
        <v>8</v>
      </c>
      <c r="L75" t="s">
        <v>12</v>
      </c>
      <c r="M75" t="s">
        <v>105</v>
      </c>
      <c r="N75" s="5">
        <v>14</v>
      </c>
    </row>
    <row r="76" spans="1:14" ht="15.75" x14ac:dyDescent="0.25">
      <c r="A76" s="2" t="s">
        <v>121</v>
      </c>
      <c r="B76" t="s">
        <v>14</v>
      </c>
      <c r="C76" s="3">
        <v>128</v>
      </c>
      <c r="D76" t="s">
        <v>12</v>
      </c>
      <c r="E76" t="s">
        <v>131</v>
      </c>
      <c r="F76" s="5" t="s">
        <v>137</v>
      </c>
      <c r="I76" s="2" t="s">
        <v>206</v>
      </c>
      <c r="J76" t="s">
        <v>14</v>
      </c>
      <c r="K76">
        <v>128</v>
      </c>
      <c r="L76" t="s">
        <v>12</v>
      </c>
      <c r="M76" t="s">
        <v>105</v>
      </c>
      <c r="N76" s="5" t="s">
        <v>133</v>
      </c>
    </row>
    <row r="77" spans="1:14" ht="15.75" x14ac:dyDescent="0.25">
      <c r="A77" s="2" t="s">
        <v>128</v>
      </c>
      <c r="B77" t="s">
        <v>11</v>
      </c>
      <c r="C77" s="3">
        <v>8</v>
      </c>
      <c r="D77" t="s">
        <v>12</v>
      </c>
      <c r="E77" t="s">
        <v>131</v>
      </c>
      <c r="F77" s="5" t="s">
        <v>144</v>
      </c>
      <c r="I77" s="2" t="s">
        <v>225</v>
      </c>
      <c r="J77" t="s">
        <v>14</v>
      </c>
      <c r="K77">
        <v>128</v>
      </c>
      <c r="L77" t="s">
        <v>12</v>
      </c>
      <c r="M77" t="s">
        <v>105</v>
      </c>
      <c r="N77" s="5" t="s">
        <v>165</v>
      </c>
    </row>
    <row r="78" spans="1:14" ht="15.75" x14ac:dyDescent="0.25">
      <c r="A78" s="2" t="s">
        <v>122</v>
      </c>
      <c r="B78" t="s">
        <v>14</v>
      </c>
      <c r="C78" s="3">
        <v>128</v>
      </c>
      <c r="D78" t="s">
        <v>12</v>
      </c>
      <c r="E78" t="s">
        <v>131</v>
      </c>
      <c r="F78" s="5" t="s">
        <v>145</v>
      </c>
    </row>
    <row r="79" spans="1:14" ht="15.75" x14ac:dyDescent="0.25">
      <c r="A79" s="2" t="s">
        <v>123</v>
      </c>
      <c r="B79" t="s">
        <v>14</v>
      </c>
      <c r="C79" s="3">
        <v>1</v>
      </c>
      <c r="D79" t="s">
        <v>15</v>
      </c>
      <c r="E79" t="s">
        <v>131</v>
      </c>
      <c r="F79" s="5" t="s">
        <v>146</v>
      </c>
    </row>
    <row r="80" spans="1:14" ht="15.75" x14ac:dyDescent="0.25">
      <c r="A80" s="2" t="s">
        <v>124</v>
      </c>
      <c r="B80" t="s">
        <v>14</v>
      </c>
      <c r="C80" s="3">
        <v>128</v>
      </c>
      <c r="D80" t="s">
        <v>12</v>
      </c>
      <c r="E80" t="s">
        <v>131</v>
      </c>
      <c r="F80" s="5" t="s">
        <v>143</v>
      </c>
    </row>
    <row r="81" spans="1:20" ht="15.75" x14ac:dyDescent="0.25">
      <c r="A81" s="2" t="s">
        <v>116</v>
      </c>
      <c r="B81" t="s">
        <v>14</v>
      </c>
      <c r="C81" s="3">
        <v>128</v>
      </c>
      <c r="D81" t="s">
        <v>12</v>
      </c>
      <c r="E81" t="s">
        <v>105</v>
      </c>
      <c r="F81" s="5">
        <v>4</v>
      </c>
    </row>
    <row r="82" spans="1:20" ht="15.75" x14ac:dyDescent="0.25">
      <c r="A82" s="2" t="s">
        <v>125</v>
      </c>
      <c r="B82" t="s">
        <v>14</v>
      </c>
      <c r="C82" s="3">
        <v>128</v>
      </c>
      <c r="D82" t="s">
        <v>12</v>
      </c>
      <c r="E82" t="s">
        <v>131</v>
      </c>
      <c r="F82" s="5" t="s">
        <v>139</v>
      </c>
    </row>
    <row r="83" spans="1:20" ht="15.75" x14ac:dyDescent="0.25">
      <c r="A83" s="2"/>
      <c r="C83" s="3"/>
    </row>
    <row r="84" spans="1:20" ht="21" x14ac:dyDescent="0.35">
      <c r="A84" s="274" t="s">
        <v>66</v>
      </c>
      <c r="B84" s="274"/>
      <c r="C84" s="274"/>
      <c r="D84" s="274"/>
    </row>
    <row r="85" spans="1:20" x14ac:dyDescent="0.25">
      <c r="A85" t="s">
        <v>2</v>
      </c>
      <c r="C85">
        <v>1</v>
      </c>
      <c r="D85" t="s">
        <v>2</v>
      </c>
    </row>
    <row r="86" spans="1:20" ht="15.75" x14ac:dyDescent="0.25">
      <c r="A86" s="2" t="s">
        <v>32</v>
      </c>
      <c r="B86" t="s">
        <v>17</v>
      </c>
      <c r="C86" s="3">
        <v>1</v>
      </c>
      <c r="D86" t="s">
        <v>4</v>
      </c>
    </row>
    <row r="87" spans="1:20" ht="15.75" x14ac:dyDescent="0.25">
      <c r="A87" s="2" t="s">
        <v>67</v>
      </c>
      <c r="B87" t="s">
        <v>11</v>
      </c>
      <c r="C87" s="3">
        <v>8</v>
      </c>
      <c r="D87" t="s">
        <v>12</v>
      </c>
    </row>
    <row r="88" spans="1:20" ht="15.75" x14ac:dyDescent="0.25">
      <c r="A88" s="2" t="s">
        <v>68</v>
      </c>
      <c r="B88" t="s">
        <v>11</v>
      </c>
      <c r="C88" s="3">
        <v>8</v>
      </c>
      <c r="D88" t="s">
        <v>12</v>
      </c>
    </row>
    <row r="89" spans="1:20" ht="15.75" x14ac:dyDescent="0.25">
      <c r="A89" s="2" t="s">
        <v>70</v>
      </c>
      <c r="B89" t="s">
        <v>14</v>
      </c>
      <c r="C89" s="3">
        <v>1</v>
      </c>
      <c r="D89" t="s">
        <v>12</v>
      </c>
    </row>
    <row r="90" spans="1:20" ht="15.75" x14ac:dyDescent="0.25">
      <c r="A90" s="2" t="s">
        <v>71</v>
      </c>
      <c r="B90" t="s">
        <v>14</v>
      </c>
      <c r="C90" s="3">
        <v>128</v>
      </c>
      <c r="D90" t="s">
        <v>12</v>
      </c>
    </row>
    <row r="91" spans="1:20" ht="15.75" x14ac:dyDescent="0.25">
      <c r="A91" s="2" t="s">
        <v>69</v>
      </c>
      <c r="B91" t="s">
        <v>9</v>
      </c>
      <c r="C91" s="3">
        <v>4</v>
      </c>
      <c r="D91" t="s">
        <v>12</v>
      </c>
    </row>
    <row r="92" spans="1:20" ht="15.75" x14ac:dyDescent="0.25">
      <c r="A92" s="2"/>
      <c r="C92" s="3"/>
    </row>
    <row r="94" spans="1:20" ht="21" x14ac:dyDescent="0.35">
      <c r="A94" s="274" t="s">
        <v>276</v>
      </c>
      <c r="B94" s="274"/>
      <c r="C94" s="274"/>
      <c r="D94" s="274"/>
      <c r="I94" s="274" t="s">
        <v>275</v>
      </c>
      <c r="J94" s="274"/>
      <c r="K94" s="274"/>
      <c r="L94" s="274"/>
      <c r="Q94" s="274" t="s">
        <v>274</v>
      </c>
      <c r="R94" s="274"/>
      <c r="S94" s="274"/>
      <c r="T94" s="274"/>
    </row>
    <row r="95" spans="1:20" ht="15.75" x14ac:dyDescent="0.25">
      <c r="A95" s="2" t="s">
        <v>2</v>
      </c>
      <c r="C95" s="3">
        <v>1</v>
      </c>
      <c r="D95" t="s">
        <v>2</v>
      </c>
      <c r="I95" s="2" t="s">
        <v>2</v>
      </c>
      <c r="K95" s="3">
        <v>1</v>
      </c>
      <c r="L95" t="s">
        <v>2</v>
      </c>
      <c r="Q95" s="2" t="s">
        <v>2</v>
      </c>
      <c r="S95" s="3">
        <v>1</v>
      </c>
      <c r="T95" t="s">
        <v>2</v>
      </c>
    </row>
    <row r="96" spans="1:20" x14ac:dyDescent="0.25">
      <c r="A96" t="s">
        <v>287</v>
      </c>
      <c r="B96" t="s">
        <v>14</v>
      </c>
      <c r="C96" s="3">
        <v>128</v>
      </c>
      <c r="D96" t="s">
        <v>3</v>
      </c>
      <c r="E96" s="1"/>
      <c r="I96" t="s">
        <v>267</v>
      </c>
      <c r="J96" t="s">
        <v>14</v>
      </c>
      <c r="K96" s="3">
        <v>128</v>
      </c>
      <c r="L96" t="s">
        <v>3</v>
      </c>
      <c r="Q96" t="s">
        <v>267</v>
      </c>
      <c r="R96" t="s">
        <v>14</v>
      </c>
      <c r="S96" s="3">
        <v>128</v>
      </c>
      <c r="T96" t="s">
        <v>3</v>
      </c>
    </row>
    <row r="97" spans="1:20" x14ac:dyDescent="0.25">
      <c r="A97" t="s">
        <v>279</v>
      </c>
      <c r="B97" t="s">
        <v>14</v>
      </c>
      <c r="C97" s="3">
        <v>128</v>
      </c>
      <c r="D97" t="s">
        <v>3</v>
      </c>
      <c r="E97" s="1"/>
      <c r="I97" t="s">
        <v>268</v>
      </c>
      <c r="J97" t="s">
        <v>14</v>
      </c>
      <c r="K97" s="3">
        <v>128</v>
      </c>
      <c r="L97" t="s">
        <v>3</v>
      </c>
      <c r="Q97" t="s">
        <v>268</v>
      </c>
      <c r="R97" t="s">
        <v>14</v>
      </c>
      <c r="S97" s="3">
        <v>128</v>
      </c>
      <c r="T97" t="s">
        <v>3</v>
      </c>
    </row>
    <row r="98" spans="1:20" x14ac:dyDescent="0.25">
      <c r="A98" t="s">
        <v>282</v>
      </c>
      <c r="B98" t="s">
        <v>14</v>
      </c>
      <c r="C98" s="3">
        <v>128</v>
      </c>
      <c r="D98" t="s">
        <v>3</v>
      </c>
      <c r="E98" s="1"/>
      <c r="I98" t="s">
        <v>259</v>
      </c>
      <c r="J98" t="s">
        <v>14</v>
      </c>
      <c r="K98" s="3">
        <v>128</v>
      </c>
      <c r="L98" t="s">
        <v>3</v>
      </c>
      <c r="Q98" t="s">
        <v>259</v>
      </c>
      <c r="R98" t="s">
        <v>14</v>
      </c>
      <c r="S98" s="3">
        <v>128</v>
      </c>
      <c r="T98" t="s">
        <v>3</v>
      </c>
    </row>
    <row r="99" spans="1:20" x14ac:dyDescent="0.25">
      <c r="A99" t="s">
        <v>280</v>
      </c>
      <c r="B99" t="s">
        <v>14</v>
      </c>
      <c r="C99" s="3">
        <v>128</v>
      </c>
      <c r="D99" t="s">
        <v>3</v>
      </c>
      <c r="E99" s="1"/>
      <c r="I99" t="s">
        <v>262</v>
      </c>
      <c r="J99" t="s">
        <v>14</v>
      </c>
      <c r="K99" s="3">
        <v>128</v>
      </c>
      <c r="L99" t="s">
        <v>3</v>
      </c>
      <c r="Q99" t="s">
        <v>262</v>
      </c>
      <c r="R99" t="s">
        <v>14</v>
      </c>
      <c r="S99" s="3">
        <v>128</v>
      </c>
      <c r="T99" t="s">
        <v>3</v>
      </c>
    </row>
    <row r="100" spans="1:20" x14ac:dyDescent="0.25">
      <c r="A100" t="s">
        <v>263</v>
      </c>
      <c r="B100" t="s">
        <v>14</v>
      </c>
      <c r="C100" s="3">
        <v>128</v>
      </c>
      <c r="D100" t="s">
        <v>3</v>
      </c>
      <c r="E100" s="1"/>
      <c r="I100" t="s">
        <v>269</v>
      </c>
      <c r="J100" t="s">
        <v>14</v>
      </c>
      <c r="K100" s="3">
        <v>128</v>
      </c>
      <c r="L100" t="s">
        <v>3</v>
      </c>
      <c r="Q100" t="s">
        <v>269</v>
      </c>
      <c r="R100" t="s">
        <v>14</v>
      </c>
      <c r="S100" s="3">
        <v>128</v>
      </c>
      <c r="T100" t="s">
        <v>3</v>
      </c>
    </row>
    <row r="101" spans="1:20" x14ac:dyDescent="0.25">
      <c r="A101" t="s">
        <v>283</v>
      </c>
      <c r="B101" t="s">
        <v>14</v>
      </c>
      <c r="C101" s="3">
        <v>128</v>
      </c>
      <c r="D101" t="s">
        <v>3</v>
      </c>
      <c r="E101" s="1"/>
      <c r="I101" t="s">
        <v>261</v>
      </c>
      <c r="J101" t="s">
        <v>14</v>
      </c>
      <c r="K101" s="3">
        <v>128</v>
      </c>
      <c r="L101" t="s">
        <v>3</v>
      </c>
      <c r="Q101" t="s">
        <v>261</v>
      </c>
      <c r="R101" t="s">
        <v>14</v>
      </c>
      <c r="S101" s="3">
        <v>128</v>
      </c>
      <c r="T101" t="s">
        <v>3</v>
      </c>
    </row>
    <row r="102" spans="1:20" x14ac:dyDescent="0.25">
      <c r="A102" t="s">
        <v>278</v>
      </c>
      <c r="B102" t="s">
        <v>14</v>
      </c>
      <c r="C102" s="3">
        <v>128</v>
      </c>
      <c r="D102" t="s">
        <v>3</v>
      </c>
      <c r="E102" s="1"/>
      <c r="I102" t="s">
        <v>263</v>
      </c>
      <c r="J102" t="s">
        <v>14</v>
      </c>
      <c r="K102" s="3">
        <v>128</v>
      </c>
      <c r="L102" t="s">
        <v>3</v>
      </c>
      <c r="Q102" t="s">
        <v>263</v>
      </c>
      <c r="R102" t="s">
        <v>14</v>
      </c>
      <c r="S102" s="3">
        <v>128</v>
      </c>
      <c r="T102" t="s">
        <v>3</v>
      </c>
    </row>
    <row r="103" spans="1:20" x14ac:dyDescent="0.25">
      <c r="A103" t="s">
        <v>285</v>
      </c>
      <c r="B103" t="s">
        <v>14</v>
      </c>
      <c r="C103" s="3">
        <v>128</v>
      </c>
      <c r="D103" t="s">
        <v>3</v>
      </c>
      <c r="E103" s="1"/>
      <c r="I103" t="s">
        <v>260</v>
      </c>
      <c r="J103" t="s">
        <v>14</v>
      </c>
      <c r="K103" s="3">
        <v>128</v>
      </c>
      <c r="L103" t="s">
        <v>3</v>
      </c>
      <c r="Q103" t="s">
        <v>260</v>
      </c>
      <c r="R103" t="s">
        <v>14</v>
      </c>
      <c r="S103" s="3">
        <v>128</v>
      </c>
      <c r="T103" t="s">
        <v>3</v>
      </c>
    </row>
    <row r="104" spans="1:20" x14ac:dyDescent="0.25">
      <c r="A104" t="s">
        <v>284</v>
      </c>
      <c r="B104" t="s">
        <v>14</v>
      </c>
      <c r="C104" s="3">
        <v>128</v>
      </c>
      <c r="D104" t="s">
        <v>3</v>
      </c>
      <c r="E104" s="1"/>
      <c r="I104" t="s">
        <v>270</v>
      </c>
      <c r="J104" t="s">
        <v>14</v>
      </c>
      <c r="K104" s="3">
        <v>128</v>
      </c>
      <c r="L104" t="s">
        <v>3</v>
      </c>
      <c r="Q104" t="s">
        <v>270</v>
      </c>
      <c r="R104" t="s">
        <v>14</v>
      </c>
      <c r="S104" s="3">
        <v>128</v>
      </c>
      <c r="T104" t="s">
        <v>3</v>
      </c>
    </row>
    <row r="105" spans="1:20" x14ac:dyDescent="0.25">
      <c r="A105" t="s">
        <v>264</v>
      </c>
      <c r="B105" t="s">
        <v>14</v>
      </c>
      <c r="C105" s="3">
        <v>128</v>
      </c>
      <c r="D105" t="s">
        <v>3</v>
      </c>
      <c r="E105" s="1"/>
      <c r="I105" t="s">
        <v>271</v>
      </c>
      <c r="J105" t="s">
        <v>14</v>
      </c>
      <c r="K105" s="3">
        <v>128</v>
      </c>
      <c r="L105" t="s">
        <v>3</v>
      </c>
      <c r="Q105" t="s">
        <v>271</v>
      </c>
      <c r="R105" t="s">
        <v>14</v>
      </c>
      <c r="S105" s="3">
        <v>128</v>
      </c>
      <c r="T105" t="s">
        <v>3</v>
      </c>
    </row>
    <row r="106" spans="1:20" x14ac:dyDescent="0.25">
      <c r="A106" t="s">
        <v>277</v>
      </c>
      <c r="B106" t="s">
        <v>14</v>
      </c>
      <c r="C106" s="3">
        <v>128</v>
      </c>
      <c r="D106" t="s">
        <v>3</v>
      </c>
      <c r="E106" s="1"/>
      <c r="I106" t="s">
        <v>33</v>
      </c>
      <c r="J106" t="s">
        <v>14</v>
      </c>
      <c r="K106" s="3">
        <v>128</v>
      </c>
      <c r="L106" t="s">
        <v>3</v>
      </c>
      <c r="Q106" t="s">
        <v>33</v>
      </c>
      <c r="R106" t="s">
        <v>14</v>
      </c>
      <c r="S106" s="3">
        <v>128</v>
      </c>
      <c r="T106" t="s">
        <v>3</v>
      </c>
    </row>
    <row r="107" spans="1:20" x14ac:dyDescent="0.25">
      <c r="A107" t="s">
        <v>272</v>
      </c>
      <c r="B107" t="s">
        <v>14</v>
      </c>
      <c r="C107" s="3">
        <v>128</v>
      </c>
      <c r="D107" t="s">
        <v>3</v>
      </c>
      <c r="E107" s="1"/>
      <c r="I107" t="s">
        <v>264</v>
      </c>
      <c r="J107" t="s">
        <v>14</v>
      </c>
      <c r="K107" s="3">
        <v>128</v>
      </c>
      <c r="L107" t="s">
        <v>3</v>
      </c>
      <c r="Q107" t="s">
        <v>264</v>
      </c>
      <c r="R107" t="s">
        <v>14</v>
      </c>
      <c r="S107" s="3">
        <v>128</v>
      </c>
      <c r="T107" t="s">
        <v>3</v>
      </c>
    </row>
    <row r="108" spans="1:20" x14ac:dyDescent="0.25">
      <c r="A108" t="s">
        <v>286</v>
      </c>
      <c r="B108" t="s">
        <v>14</v>
      </c>
      <c r="C108" s="3">
        <v>128</v>
      </c>
      <c r="D108" t="s">
        <v>3</v>
      </c>
      <c r="E108" s="1"/>
      <c r="I108" t="s">
        <v>265</v>
      </c>
      <c r="J108" t="s">
        <v>14</v>
      </c>
      <c r="K108" s="3">
        <v>128</v>
      </c>
      <c r="L108" t="s">
        <v>3</v>
      </c>
      <c r="Q108" t="s">
        <v>265</v>
      </c>
      <c r="R108" t="s">
        <v>14</v>
      </c>
      <c r="S108" s="3">
        <v>128</v>
      </c>
      <c r="T108" t="s">
        <v>3</v>
      </c>
    </row>
    <row r="109" spans="1:20" x14ac:dyDescent="0.25">
      <c r="A109" t="s">
        <v>266</v>
      </c>
      <c r="B109" t="s">
        <v>14</v>
      </c>
      <c r="C109" s="3">
        <v>128</v>
      </c>
      <c r="D109" t="s">
        <v>3</v>
      </c>
      <c r="E109" s="1"/>
      <c r="I109" t="s">
        <v>272</v>
      </c>
      <c r="J109" t="s">
        <v>14</v>
      </c>
      <c r="K109" s="3">
        <v>128</v>
      </c>
      <c r="L109" t="s">
        <v>3</v>
      </c>
      <c r="Q109" t="s">
        <v>272</v>
      </c>
      <c r="R109" t="s">
        <v>14</v>
      </c>
      <c r="S109" s="3">
        <v>128</v>
      </c>
      <c r="T109" t="s">
        <v>3</v>
      </c>
    </row>
    <row r="110" spans="1:20" x14ac:dyDescent="0.25">
      <c r="A110" t="s">
        <v>281</v>
      </c>
      <c r="B110" t="s">
        <v>14</v>
      </c>
      <c r="C110" s="3">
        <v>128</v>
      </c>
      <c r="D110" t="s">
        <v>3</v>
      </c>
      <c r="E110" s="1"/>
      <c r="I110" t="s">
        <v>34</v>
      </c>
      <c r="J110" t="s">
        <v>14</v>
      </c>
      <c r="K110" s="3">
        <v>128</v>
      </c>
      <c r="L110" t="s">
        <v>3</v>
      </c>
      <c r="Q110" t="s">
        <v>34</v>
      </c>
      <c r="R110" t="s">
        <v>14</v>
      </c>
      <c r="S110" s="3">
        <v>128</v>
      </c>
      <c r="T110" t="s">
        <v>3</v>
      </c>
    </row>
    <row r="111" spans="1:20" x14ac:dyDescent="0.25">
      <c r="I111" t="s">
        <v>266</v>
      </c>
      <c r="J111" t="s">
        <v>14</v>
      </c>
      <c r="K111" s="3">
        <v>128</v>
      </c>
      <c r="L111" t="s">
        <v>3</v>
      </c>
      <c r="Q111" t="s">
        <v>266</v>
      </c>
      <c r="R111" t="s">
        <v>14</v>
      </c>
      <c r="S111" s="3">
        <v>128</v>
      </c>
      <c r="T111" t="s">
        <v>3</v>
      </c>
    </row>
    <row r="112" spans="1:20" x14ac:dyDescent="0.25">
      <c r="I112" t="s">
        <v>273</v>
      </c>
      <c r="J112" t="s">
        <v>14</v>
      </c>
      <c r="K112" s="3">
        <v>128</v>
      </c>
      <c r="L112" t="s">
        <v>3</v>
      </c>
      <c r="Q112" t="s">
        <v>273</v>
      </c>
      <c r="R112" t="s">
        <v>14</v>
      </c>
      <c r="S112" s="3">
        <v>128</v>
      </c>
      <c r="T112" t="s">
        <v>3</v>
      </c>
    </row>
    <row r="113" spans="1:20" x14ac:dyDescent="0.25">
      <c r="E113" s="1"/>
    </row>
    <row r="114" spans="1:20" x14ac:dyDescent="0.25">
      <c r="E114" s="1"/>
    </row>
    <row r="115" spans="1:20" x14ac:dyDescent="0.25">
      <c r="E115" s="1"/>
    </row>
    <row r="116" spans="1:20" x14ac:dyDescent="0.25">
      <c r="E116" s="1"/>
    </row>
    <row r="117" spans="1:20" ht="21" x14ac:dyDescent="0.35">
      <c r="A117" s="274" t="s">
        <v>72</v>
      </c>
      <c r="B117" s="274"/>
      <c r="C117" s="274"/>
      <c r="D117" s="274"/>
      <c r="E117" s="1"/>
      <c r="I117" s="274" t="s">
        <v>332</v>
      </c>
      <c r="J117" s="274"/>
      <c r="K117" s="274"/>
      <c r="L117" s="274"/>
      <c r="Q117" s="274" t="s">
        <v>72</v>
      </c>
      <c r="R117" s="274"/>
      <c r="S117" s="274"/>
      <c r="T117" s="274"/>
    </row>
    <row r="118" spans="1:20" ht="15.75" x14ac:dyDescent="0.25">
      <c r="A118" s="2" t="s">
        <v>2</v>
      </c>
      <c r="C118" s="3">
        <v>1</v>
      </c>
      <c r="D118" t="s">
        <v>2</v>
      </c>
      <c r="E118" s="1"/>
      <c r="I118" s="2" t="s">
        <v>2</v>
      </c>
      <c r="K118" s="3">
        <v>1</v>
      </c>
      <c r="L118" t="s">
        <v>2</v>
      </c>
      <c r="Q118" s="2" t="s">
        <v>2</v>
      </c>
      <c r="S118" s="3">
        <v>1</v>
      </c>
      <c r="T118" t="s">
        <v>2</v>
      </c>
    </row>
    <row r="119" spans="1:20" x14ac:dyDescent="0.25">
      <c r="A119" t="s">
        <v>73</v>
      </c>
      <c r="B119" t="s">
        <v>11</v>
      </c>
      <c r="C119" s="3">
        <v>8</v>
      </c>
      <c r="D119" t="s">
        <v>12</v>
      </c>
      <c r="E119" s="1"/>
      <c r="I119" t="s">
        <v>73</v>
      </c>
      <c r="J119" t="s">
        <v>11</v>
      </c>
      <c r="K119" s="3">
        <v>8</v>
      </c>
      <c r="L119" t="s">
        <v>12</v>
      </c>
      <c r="Q119" t="s">
        <v>73</v>
      </c>
      <c r="R119" t="s">
        <v>11</v>
      </c>
      <c r="S119" s="3">
        <v>8</v>
      </c>
      <c r="T119" t="s">
        <v>12</v>
      </c>
    </row>
    <row r="120" spans="1:20" x14ac:dyDescent="0.25">
      <c r="A120" t="s">
        <v>74</v>
      </c>
      <c r="B120" t="s">
        <v>14</v>
      </c>
      <c r="C120" s="3">
        <v>1</v>
      </c>
      <c r="D120" t="s">
        <v>12</v>
      </c>
      <c r="I120" t="s">
        <v>74</v>
      </c>
      <c r="J120" t="s">
        <v>14</v>
      </c>
      <c r="K120" s="3">
        <v>1</v>
      </c>
      <c r="L120" t="s">
        <v>12</v>
      </c>
      <c r="Q120" t="s">
        <v>74</v>
      </c>
      <c r="R120" t="s">
        <v>14</v>
      </c>
      <c r="S120" s="3">
        <v>1</v>
      </c>
      <c r="T120" t="s">
        <v>12</v>
      </c>
    </row>
    <row r="121" spans="1:20" x14ac:dyDescent="0.25">
      <c r="A121" t="s">
        <v>75</v>
      </c>
      <c r="B121" t="s">
        <v>17</v>
      </c>
      <c r="C121" s="3">
        <v>1</v>
      </c>
      <c r="D121" t="s">
        <v>4</v>
      </c>
      <c r="I121" t="s">
        <v>75</v>
      </c>
      <c r="J121" t="s">
        <v>17</v>
      </c>
      <c r="K121" s="3">
        <v>1</v>
      </c>
      <c r="L121" t="s">
        <v>4</v>
      </c>
      <c r="Q121" t="s">
        <v>75</v>
      </c>
      <c r="R121" t="s">
        <v>17</v>
      </c>
      <c r="S121" s="3">
        <v>1</v>
      </c>
      <c r="T121" t="s">
        <v>4</v>
      </c>
    </row>
    <row r="122" spans="1:20" x14ac:dyDescent="0.25">
      <c r="A122" t="s">
        <v>76</v>
      </c>
      <c r="B122" t="s">
        <v>9</v>
      </c>
      <c r="C122" s="3">
        <v>4</v>
      </c>
      <c r="D122" t="s">
        <v>12</v>
      </c>
      <c r="I122" t="s">
        <v>76</v>
      </c>
      <c r="J122" t="s">
        <v>9</v>
      </c>
      <c r="K122" s="3">
        <v>4</v>
      </c>
      <c r="L122" t="s">
        <v>12</v>
      </c>
      <c r="Q122" t="s">
        <v>76</v>
      </c>
      <c r="R122" t="s">
        <v>9</v>
      </c>
      <c r="S122" s="3">
        <v>4</v>
      </c>
      <c r="T122" t="s">
        <v>12</v>
      </c>
    </row>
    <row r="125" spans="1:20" ht="15.75" x14ac:dyDescent="0.25">
      <c r="A125" s="2" t="s">
        <v>2</v>
      </c>
      <c r="C125" s="3">
        <v>1</v>
      </c>
      <c r="D125" t="s">
        <v>2</v>
      </c>
      <c r="I125" s="2" t="s">
        <v>2</v>
      </c>
      <c r="K125" s="3">
        <v>1</v>
      </c>
      <c r="L125" t="s">
        <v>2</v>
      </c>
      <c r="Q125" s="2" t="s">
        <v>2</v>
      </c>
      <c r="S125" s="3">
        <v>1</v>
      </c>
      <c r="T125" t="s">
        <v>2</v>
      </c>
    </row>
    <row r="126" spans="1:20" x14ac:dyDescent="0.25">
      <c r="A126" t="s">
        <v>296</v>
      </c>
      <c r="B126" t="s">
        <v>14</v>
      </c>
      <c r="C126" s="3">
        <v>1</v>
      </c>
      <c r="D126" t="s">
        <v>12</v>
      </c>
      <c r="I126" t="s">
        <v>296</v>
      </c>
      <c r="J126" t="s">
        <v>14</v>
      </c>
      <c r="K126" s="3">
        <v>1</v>
      </c>
      <c r="L126" t="s">
        <v>12</v>
      </c>
      <c r="Q126" t="s">
        <v>300</v>
      </c>
      <c r="R126" t="s">
        <v>14</v>
      </c>
      <c r="S126" s="3">
        <v>1</v>
      </c>
      <c r="T126" t="s">
        <v>12</v>
      </c>
    </row>
    <row r="127" spans="1:20" x14ac:dyDescent="0.25">
      <c r="A127" t="s">
        <v>297</v>
      </c>
      <c r="B127" t="s">
        <v>14</v>
      </c>
      <c r="C127" s="3">
        <v>1</v>
      </c>
      <c r="D127" t="s">
        <v>12</v>
      </c>
      <c r="I127" t="s">
        <v>297</v>
      </c>
      <c r="J127" t="s">
        <v>14</v>
      </c>
      <c r="K127" s="3">
        <v>1</v>
      </c>
      <c r="L127" t="s">
        <v>12</v>
      </c>
      <c r="Q127" t="s">
        <v>334</v>
      </c>
      <c r="R127" t="s">
        <v>17</v>
      </c>
      <c r="S127" s="3">
        <v>5</v>
      </c>
      <c r="T127" t="s">
        <v>4</v>
      </c>
    </row>
    <row r="128" spans="1:20" x14ac:dyDescent="0.25">
      <c r="A128" t="s">
        <v>298</v>
      </c>
      <c r="B128" t="s">
        <v>14</v>
      </c>
      <c r="C128" s="3">
        <v>1</v>
      </c>
      <c r="D128" t="s">
        <v>12</v>
      </c>
      <c r="I128" t="s">
        <v>298</v>
      </c>
      <c r="J128" t="s">
        <v>14</v>
      </c>
      <c r="K128" s="3">
        <v>1</v>
      </c>
      <c r="L128" t="s">
        <v>12</v>
      </c>
      <c r="Q128" t="s">
        <v>335</v>
      </c>
      <c r="R128" t="s">
        <v>11</v>
      </c>
      <c r="S128" s="3">
        <v>8</v>
      </c>
      <c r="T128" t="s">
        <v>12</v>
      </c>
    </row>
    <row r="129" spans="1:20" x14ac:dyDescent="0.25">
      <c r="A129" t="s">
        <v>338</v>
      </c>
      <c r="B129" t="s">
        <v>14</v>
      </c>
      <c r="C129" s="3">
        <v>1</v>
      </c>
      <c r="D129" t="s">
        <v>12</v>
      </c>
      <c r="I129" t="s">
        <v>299</v>
      </c>
      <c r="J129" t="s">
        <v>14</v>
      </c>
      <c r="K129" s="3">
        <v>1</v>
      </c>
      <c r="L129" t="s">
        <v>12</v>
      </c>
      <c r="Q129" t="s">
        <v>295</v>
      </c>
      <c r="R129" t="s">
        <v>17</v>
      </c>
      <c r="S129" s="3">
        <v>1</v>
      </c>
      <c r="T129" t="s">
        <v>4</v>
      </c>
    </row>
    <row r="130" spans="1:20" x14ac:dyDescent="0.25">
      <c r="A130" t="s">
        <v>339</v>
      </c>
      <c r="B130" t="s">
        <v>14</v>
      </c>
      <c r="C130" s="3">
        <v>1</v>
      </c>
      <c r="D130" t="s">
        <v>12</v>
      </c>
      <c r="I130" t="s">
        <v>300</v>
      </c>
      <c r="J130" t="s">
        <v>14</v>
      </c>
      <c r="K130" s="3">
        <v>1</v>
      </c>
      <c r="L130" t="s">
        <v>12</v>
      </c>
      <c r="Q130" t="s">
        <v>294</v>
      </c>
      <c r="R130" t="s">
        <v>14</v>
      </c>
      <c r="S130" s="3">
        <v>1</v>
      </c>
      <c r="T130" t="s">
        <v>12</v>
      </c>
    </row>
    <row r="131" spans="1:20" x14ac:dyDescent="0.25">
      <c r="A131" t="s">
        <v>340</v>
      </c>
      <c r="B131" t="s">
        <v>14</v>
      </c>
      <c r="C131" s="3">
        <v>1</v>
      </c>
      <c r="D131" t="s">
        <v>12</v>
      </c>
      <c r="I131" t="s">
        <v>301</v>
      </c>
      <c r="J131" t="s">
        <v>14</v>
      </c>
      <c r="K131" s="3">
        <v>1</v>
      </c>
      <c r="L131" t="s">
        <v>12</v>
      </c>
      <c r="Q131" t="s">
        <v>337</v>
      </c>
      <c r="R131" t="s">
        <v>11</v>
      </c>
      <c r="S131" s="3">
        <v>8</v>
      </c>
      <c r="T131" t="s">
        <v>12</v>
      </c>
    </row>
    <row r="132" spans="1:20" x14ac:dyDescent="0.25">
      <c r="A132" t="s">
        <v>301</v>
      </c>
      <c r="B132" t="s">
        <v>14</v>
      </c>
      <c r="C132" s="3">
        <v>1</v>
      </c>
      <c r="D132" t="s">
        <v>12</v>
      </c>
      <c r="I132" t="s">
        <v>302</v>
      </c>
      <c r="J132" t="s">
        <v>14</v>
      </c>
      <c r="K132" s="3">
        <v>1</v>
      </c>
      <c r="L132" t="s">
        <v>12</v>
      </c>
      <c r="Q132" t="s">
        <v>360</v>
      </c>
      <c r="R132" t="s">
        <v>14</v>
      </c>
      <c r="S132" s="3">
        <v>1</v>
      </c>
      <c r="T132" t="s">
        <v>12</v>
      </c>
    </row>
    <row r="133" spans="1:20" x14ac:dyDescent="0.25">
      <c r="A133" t="s">
        <v>302</v>
      </c>
      <c r="B133" t="s">
        <v>14</v>
      </c>
      <c r="C133" s="3">
        <v>1</v>
      </c>
      <c r="D133" t="s">
        <v>12</v>
      </c>
      <c r="I133" t="s">
        <v>303</v>
      </c>
      <c r="J133" t="s">
        <v>14</v>
      </c>
      <c r="K133" s="3">
        <v>1</v>
      </c>
      <c r="L133" t="s">
        <v>12</v>
      </c>
      <c r="Q133" t="s">
        <v>356</v>
      </c>
      <c r="R133" t="s">
        <v>14</v>
      </c>
      <c r="S133" s="3">
        <v>1</v>
      </c>
      <c r="T133" t="s">
        <v>12</v>
      </c>
    </row>
    <row r="134" spans="1:20" x14ac:dyDescent="0.25">
      <c r="A134" t="s">
        <v>341</v>
      </c>
      <c r="B134" t="s">
        <v>14</v>
      </c>
      <c r="C134" s="3">
        <v>1</v>
      </c>
      <c r="D134" t="s">
        <v>12</v>
      </c>
      <c r="I134" t="s">
        <v>304</v>
      </c>
      <c r="J134" t="s">
        <v>11</v>
      </c>
      <c r="K134" s="3">
        <v>8</v>
      </c>
      <c r="L134" t="s">
        <v>12</v>
      </c>
      <c r="Q134" t="s">
        <v>324</v>
      </c>
      <c r="R134" t="s">
        <v>9</v>
      </c>
      <c r="S134" s="3">
        <v>4</v>
      </c>
      <c r="T134" t="s">
        <v>12</v>
      </c>
    </row>
    <row r="135" spans="1:20" x14ac:dyDescent="0.25">
      <c r="A135" t="s">
        <v>303</v>
      </c>
      <c r="B135" t="s">
        <v>14</v>
      </c>
      <c r="C135" s="3">
        <v>1</v>
      </c>
      <c r="D135" t="s">
        <v>12</v>
      </c>
      <c r="I135" t="s">
        <v>305</v>
      </c>
      <c r="J135" t="s">
        <v>11</v>
      </c>
      <c r="K135" s="3">
        <v>8</v>
      </c>
      <c r="L135" t="s">
        <v>12</v>
      </c>
      <c r="Q135" t="s">
        <v>328</v>
      </c>
      <c r="R135" t="s">
        <v>14</v>
      </c>
      <c r="S135" s="3">
        <v>1</v>
      </c>
      <c r="T135" t="s">
        <v>12</v>
      </c>
    </row>
    <row r="136" spans="1:20" x14ac:dyDescent="0.25">
      <c r="A136" t="s">
        <v>342</v>
      </c>
      <c r="B136" t="s">
        <v>14</v>
      </c>
      <c r="C136" s="3">
        <v>1</v>
      </c>
      <c r="D136" t="s">
        <v>12</v>
      </c>
      <c r="I136" t="s">
        <v>306</v>
      </c>
      <c r="J136" t="s">
        <v>14</v>
      </c>
      <c r="K136" s="3">
        <v>1</v>
      </c>
      <c r="L136" t="s">
        <v>12</v>
      </c>
      <c r="Q136" t="s">
        <v>329</v>
      </c>
      <c r="R136" t="s">
        <v>14</v>
      </c>
      <c r="S136" s="3">
        <v>1</v>
      </c>
      <c r="T136" t="s">
        <v>12</v>
      </c>
    </row>
    <row r="137" spans="1:20" x14ac:dyDescent="0.25">
      <c r="A137" t="s">
        <v>306</v>
      </c>
      <c r="B137" t="s">
        <v>14</v>
      </c>
      <c r="C137" s="3">
        <v>1</v>
      </c>
      <c r="D137" t="s">
        <v>12</v>
      </c>
      <c r="I137" t="s">
        <v>307</v>
      </c>
      <c r="J137" t="s">
        <v>11</v>
      </c>
      <c r="K137" s="3">
        <v>8</v>
      </c>
      <c r="L137" t="s">
        <v>12</v>
      </c>
    </row>
    <row r="138" spans="1:20" x14ac:dyDescent="0.25">
      <c r="A138" t="s">
        <v>343</v>
      </c>
      <c r="B138" t="s">
        <v>11</v>
      </c>
      <c r="C138" s="3">
        <v>8</v>
      </c>
      <c r="D138" t="s">
        <v>12</v>
      </c>
      <c r="I138" t="s">
        <v>308</v>
      </c>
      <c r="J138" t="s">
        <v>11</v>
      </c>
      <c r="K138" s="3">
        <v>8</v>
      </c>
      <c r="L138" t="s">
        <v>12</v>
      </c>
    </row>
    <row r="139" spans="1:20" x14ac:dyDescent="0.25">
      <c r="A139" t="s">
        <v>344</v>
      </c>
      <c r="B139" t="s">
        <v>14</v>
      </c>
      <c r="C139" s="3">
        <v>1</v>
      </c>
      <c r="D139" t="s">
        <v>12</v>
      </c>
      <c r="I139" t="s">
        <v>330</v>
      </c>
      <c r="J139" t="s">
        <v>14</v>
      </c>
      <c r="K139" s="3">
        <v>1</v>
      </c>
      <c r="L139" t="s">
        <v>12</v>
      </c>
    </row>
    <row r="140" spans="1:20" x14ac:dyDescent="0.25">
      <c r="A140" t="s">
        <v>345</v>
      </c>
      <c r="B140" t="s">
        <v>14</v>
      </c>
      <c r="C140" s="3">
        <v>1</v>
      </c>
      <c r="D140" t="s">
        <v>12</v>
      </c>
      <c r="I140" t="s">
        <v>309</v>
      </c>
      <c r="J140" t="s">
        <v>14</v>
      </c>
      <c r="K140" s="3">
        <v>1</v>
      </c>
      <c r="L140" t="s">
        <v>12</v>
      </c>
    </row>
    <row r="141" spans="1:20" x14ac:dyDescent="0.25">
      <c r="A141" t="s">
        <v>346</v>
      </c>
      <c r="B141" t="s">
        <v>17</v>
      </c>
      <c r="C141" s="3">
        <v>50</v>
      </c>
      <c r="D141" t="s">
        <v>4</v>
      </c>
      <c r="I141" t="s">
        <v>310</v>
      </c>
      <c r="J141" t="s">
        <v>14</v>
      </c>
      <c r="K141" s="3">
        <v>1</v>
      </c>
      <c r="L141" t="s">
        <v>12</v>
      </c>
    </row>
    <row r="142" spans="1:20" x14ac:dyDescent="0.25">
      <c r="A142" t="s">
        <v>307</v>
      </c>
      <c r="B142" t="s">
        <v>11</v>
      </c>
      <c r="C142" s="3">
        <v>8</v>
      </c>
      <c r="D142" t="s">
        <v>12</v>
      </c>
      <c r="I142" t="s">
        <v>311</v>
      </c>
      <c r="J142" t="s">
        <v>14</v>
      </c>
      <c r="K142" s="3">
        <v>1</v>
      </c>
      <c r="L142" t="s">
        <v>12</v>
      </c>
    </row>
    <row r="143" spans="1:20" x14ac:dyDescent="0.25">
      <c r="A143" t="s">
        <v>334</v>
      </c>
      <c r="B143" t="s">
        <v>17</v>
      </c>
      <c r="C143" s="3">
        <v>5</v>
      </c>
      <c r="D143" t="s">
        <v>4</v>
      </c>
      <c r="I143" t="s">
        <v>294</v>
      </c>
      <c r="J143" t="s">
        <v>14</v>
      </c>
      <c r="K143" s="3">
        <v>1</v>
      </c>
      <c r="L143" t="s">
        <v>12</v>
      </c>
    </row>
    <row r="144" spans="1:20" x14ac:dyDescent="0.25">
      <c r="A144" t="s">
        <v>335</v>
      </c>
      <c r="B144" t="s">
        <v>11</v>
      </c>
      <c r="C144" s="3">
        <v>8</v>
      </c>
      <c r="D144" t="s">
        <v>12</v>
      </c>
      <c r="I144" t="s">
        <v>295</v>
      </c>
      <c r="J144" t="s">
        <v>17</v>
      </c>
      <c r="K144" s="3">
        <v>1</v>
      </c>
      <c r="L144" t="s">
        <v>4</v>
      </c>
    </row>
    <row r="145" spans="1:12" x14ac:dyDescent="0.25">
      <c r="A145" t="s">
        <v>347</v>
      </c>
      <c r="B145" t="s">
        <v>14</v>
      </c>
      <c r="C145" s="3">
        <v>1</v>
      </c>
      <c r="D145" t="s">
        <v>12</v>
      </c>
      <c r="I145" t="s">
        <v>312</v>
      </c>
      <c r="J145" t="s">
        <v>14</v>
      </c>
      <c r="K145" s="3">
        <v>1</v>
      </c>
      <c r="L145" t="s">
        <v>12</v>
      </c>
    </row>
    <row r="146" spans="1:12" x14ac:dyDescent="0.25">
      <c r="A146" t="s">
        <v>348</v>
      </c>
      <c r="B146" t="s">
        <v>17</v>
      </c>
      <c r="C146" s="3">
        <v>1</v>
      </c>
      <c r="D146" t="s">
        <v>4</v>
      </c>
      <c r="I146" t="s">
        <v>313</v>
      </c>
      <c r="J146" t="s">
        <v>14</v>
      </c>
      <c r="K146" s="3">
        <v>1</v>
      </c>
      <c r="L146" t="s">
        <v>12</v>
      </c>
    </row>
    <row r="147" spans="1:12" x14ac:dyDescent="0.25">
      <c r="A147" t="s">
        <v>349</v>
      </c>
      <c r="B147" t="s">
        <v>14</v>
      </c>
      <c r="C147" s="3">
        <v>1</v>
      </c>
      <c r="D147" t="s">
        <v>12</v>
      </c>
      <c r="I147" t="s">
        <v>314</v>
      </c>
      <c r="J147" t="s">
        <v>14</v>
      </c>
      <c r="K147" s="3">
        <v>1</v>
      </c>
      <c r="L147" t="s">
        <v>12</v>
      </c>
    </row>
    <row r="148" spans="1:12" x14ac:dyDescent="0.25">
      <c r="A148" t="s">
        <v>350</v>
      </c>
      <c r="B148" t="s">
        <v>14</v>
      </c>
      <c r="C148" s="3">
        <v>1</v>
      </c>
      <c r="D148" t="s">
        <v>12</v>
      </c>
      <c r="I148" t="s">
        <v>325</v>
      </c>
      <c r="J148" t="s">
        <v>11</v>
      </c>
      <c r="K148" s="3">
        <v>8</v>
      </c>
      <c r="L148" t="s">
        <v>12</v>
      </c>
    </row>
    <row r="149" spans="1:12" x14ac:dyDescent="0.25">
      <c r="A149" t="s">
        <v>351</v>
      </c>
      <c r="B149" t="s">
        <v>14</v>
      </c>
      <c r="C149" s="3">
        <v>1</v>
      </c>
      <c r="D149" t="s">
        <v>12</v>
      </c>
      <c r="I149" t="s">
        <v>360</v>
      </c>
      <c r="J149" t="s">
        <v>14</v>
      </c>
      <c r="K149" s="3">
        <v>1</v>
      </c>
      <c r="L149" t="s">
        <v>12</v>
      </c>
    </row>
    <row r="150" spans="1:12" x14ac:dyDescent="0.25">
      <c r="A150" t="s">
        <v>310</v>
      </c>
      <c r="B150" t="s">
        <v>14</v>
      </c>
      <c r="C150" s="3">
        <v>1</v>
      </c>
      <c r="D150" t="s">
        <v>12</v>
      </c>
      <c r="I150" t="s">
        <v>315</v>
      </c>
      <c r="J150" t="s">
        <v>11</v>
      </c>
      <c r="K150" s="3">
        <v>8</v>
      </c>
      <c r="L150" t="s">
        <v>12</v>
      </c>
    </row>
    <row r="151" spans="1:12" x14ac:dyDescent="0.25">
      <c r="A151" t="s">
        <v>311</v>
      </c>
      <c r="B151" t="s">
        <v>14</v>
      </c>
      <c r="C151" s="3">
        <v>1</v>
      </c>
      <c r="D151" t="s">
        <v>12</v>
      </c>
      <c r="I151" t="s">
        <v>316</v>
      </c>
      <c r="J151" t="s">
        <v>17</v>
      </c>
      <c r="K151" s="3">
        <v>1</v>
      </c>
      <c r="L151" t="s">
        <v>4</v>
      </c>
    </row>
    <row r="152" spans="1:12" x14ac:dyDescent="0.25">
      <c r="A152" t="s">
        <v>352</v>
      </c>
      <c r="B152" t="s">
        <v>11</v>
      </c>
      <c r="C152" s="3">
        <v>8</v>
      </c>
      <c r="D152" t="s">
        <v>12</v>
      </c>
      <c r="I152" t="s">
        <v>317</v>
      </c>
      <c r="J152" t="s">
        <v>17</v>
      </c>
      <c r="K152" s="3">
        <v>1</v>
      </c>
      <c r="L152" t="s">
        <v>4</v>
      </c>
    </row>
    <row r="153" spans="1:12" x14ac:dyDescent="0.25">
      <c r="A153" t="s">
        <v>353</v>
      </c>
      <c r="B153" t="s">
        <v>14</v>
      </c>
      <c r="C153" s="3">
        <v>1</v>
      </c>
      <c r="D153" t="s">
        <v>12</v>
      </c>
      <c r="I153" t="s">
        <v>318</v>
      </c>
      <c r="J153" t="s">
        <v>17</v>
      </c>
      <c r="K153" s="3">
        <v>1</v>
      </c>
      <c r="L153" t="s">
        <v>4</v>
      </c>
    </row>
    <row r="154" spans="1:12" x14ac:dyDescent="0.25">
      <c r="A154" t="s">
        <v>325</v>
      </c>
      <c r="B154" t="s">
        <v>11</v>
      </c>
      <c r="C154" s="3">
        <v>8</v>
      </c>
      <c r="D154" t="s">
        <v>12</v>
      </c>
      <c r="I154" t="s">
        <v>319</v>
      </c>
      <c r="J154" t="s">
        <v>11</v>
      </c>
      <c r="K154" s="3">
        <v>8</v>
      </c>
      <c r="L154" t="s">
        <v>12</v>
      </c>
    </row>
    <row r="155" spans="1:12" x14ac:dyDescent="0.25">
      <c r="A155" t="s">
        <v>337</v>
      </c>
      <c r="B155" t="s">
        <v>11</v>
      </c>
      <c r="C155" s="3">
        <v>8</v>
      </c>
      <c r="D155" t="s">
        <v>12</v>
      </c>
      <c r="I155" t="s">
        <v>320</v>
      </c>
      <c r="J155" t="s">
        <v>14</v>
      </c>
      <c r="K155" s="3">
        <v>1</v>
      </c>
      <c r="L155" t="s">
        <v>12</v>
      </c>
    </row>
    <row r="156" spans="1:12" x14ac:dyDescent="0.25">
      <c r="A156" t="s">
        <v>336</v>
      </c>
      <c r="B156" t="s">
        <v>14</v>
      </c>
      <c r="C156" s="3">
        <v>1</v>
      </c>
      <c r="D156" t="s">
        <v>12</v>
      </c>
      <c r="I156" t="s">
        <v>331</v>
      </c>
      <c r="J156" t="s">
        <v>14</v>
      </c>
      <c r="K156" s="3">
        <v>1</v>
      </c>
      <c r="L156" t="s">
        <v>12</v>
      </c>
    </row>
    <row r="157" spans="1:12" x14ac:dyDescent="0.25">
      <c r="A157" t="s">
        <v>361</v>
      </c>
      <c r="B157" t="s">
        <v>14</v>
      </c>
      <c r="C157" s="3">
        <v>1</v>
      </c>
      <c r="D157" t="s">
        <v>12</v>
      </c>
      <c r="I157" t="s">
        <v>322</v>
      </c>
      <c r="J157" t="s">
        <v>14</v>
      </c>
      <c r="K157" s="3">
        <v>1</v>
      </c>
      <c r="L157" t="s">
        <v>12</v>
      </c>
    </row>
    <row r="158" spans="1:12" x14ac:dyDescent="0.25">
      <c r="A158" t="s">
        <v>354</v>
      </c>
      <c r="B158" t="s">
        <v>14</v>
      </c>
      <c r="C158" s="3">
        <v>1</v>
      </c>
      <c r="D158" t="s">
        <v>12</v>
      </c>
      <c r="I158" t="s">
        <v>323</v>
      </c>
      <c r="J158" t="s">
        <v>14</v>
      </c>
      <c r="K158" s="3">
        <v>1</v>
      </c>
      <c r="L158" t="s">
        <v>12</v>
      </c>
    </row>
    <row r="159" spans="1:12" x14ac:dyDescent="0.25">
      <c r="A159" t="s">
        <v>355</v>
      </c>
      <c r="B159" t="s">
        <v>14</v>
      </c>
      <c r="C159" s="3">
        <v>1</v>
      </c>
      <c r="D159" t="s">
        <v>12</v>
      </c>
      <c r="I159" t="s">
        <v>324</v>
      </c>
      <c r="J159" t="s">
        <v>9</v>
      </c>
      <c r="K159" s="3">
        <v>4</v>
      </c>
      <c r="L159" t="s">
        <v>12</v>
      </c>
    </row>
    <row r="160" spans="1:12" x14ac:dyDescent="0.25">
      <c r="A160" t="s">
        <v>321</v>
      </c>
      <c r="B160" t="s">
        <v>14</v>
      </c>
      <c r="C160" s="3">
        <v>1</v>
      </c>
      <c r="D160" t="s">
        <v>12</v>
      </c>
      <c r="I160" t="s">
        <v>326</v>
      </c>
      <c r="J160" t="s">
        <v>17</v>
      </c>
      <c r="K160" s="3">
        <v>1</v>
      </c>
      <c r="L160" t="s">
        <v>4</v>
      </c>
    </row>
    <row r="161" spans="1:12" x14ac:dyDescent="0.25">
      <c r="A161" t="s">
        <v>322</v>
      </c>
      <c r="B161" t="s">
        <v>14</v>
      </c>
      <c r="C161" s="3">
        <v>1</v>
      </c>
      <c r="D161" t="s">
        <v>12</v>
      </c>
      <c r="I161" t="s">
        <v>327</v>
      </c>
      <c r="J161" t="s">
        <v>14</v>
      </c>
      <c r="K161" s="3">
        <v>1</v>
      </c>
      <c r="L161" t="s">
        <v>12</v>
      </c>
    </row>
    <row r="162" spans="1:12" x14ac:dyDescent="0.25">
      <c r="A162" t="s">
        <v>356</v>
      </c>
      <c r="B162" t="s">
        <v>14</v>
      </c>
      <c r="C162" s="3">
        <v>1</v>
      </c>
      <c r="D162" t="s">
        <v>12</v>
      </c>
      <c r="I162" t="s">
        <v>328</v>
      </c>
      <c r="J162" t="s">
        <v>14</v>
      </c>
      <c r="K162" s="3">
        <v>1</v>
      </c>
      <c r="L162" t="s">
        <v>12</v>
      </c>
    </row>
    <row r="163" spans="1:12" x14ac:dyDescent="0.25">
      <c r="A163" t="s">
        <v>357</v>
      </c>
      <c r="B163" t="s">
        <v>14</v>
      </c>
      <c r="C163" s="3">
        <v>1</v>
      </c>
      <c r="D163" t="s">
        <v>12</v>
      </c>
      <c r="I163" t="s">
        <v>329</v>
      </c>
      <c r="J163" t="s">
        <v>14</v>
      </c>
      <c r="K163" s="3">
        <v>1</v>
      </c>
      <c r="L163" t="s">
        <v>12</v>
      </c>
    </row>
    <row r="164" spans="1:12" x14ac:dyDescent="0.25">
      <c r="A164" t="s">
        <v>358</v>
      </c>
      <c r="B164" t="s">
        <v>9</v>
      </c>
      <c r="C164" s="3">
        <v>4</v>
      </c>
      <c r="D164" t="s">
        <v>12</v>
      </c>
    </row>
    <row r="165" spans="1:12" x14ac:dyDescent="0.25">
      <c r="A165" t="s">
        <v>326</v>
      </c>
      <c r="B165" t="s">
        <v>17</v>
      </c>
      <c r="C165" s="3">
        <v>1</v>
      </c>
      <c r="D165" t="s">
        <v>4</v>
      </c>
    </row>
    <row r="166" spans="1:12" x14ac:dyDescent="0.25">
      <c r="A166" t="s">
        <v>327</v>
      </c>
      <c r="B166" t="s">
        <v>14</v>
      </c>
      <c r="C166" s="3">
        <v>1</v>
      </c>
      <c r="D166" t="s">
        <v>12</v>
      </c>
    </row>
    <row r="167" spans="1:12" x14ac:dyDescent="0.25">
      <c r="A167" t="s">
        <v>329</v>
      </c>
      <c r="B167" t="s">
        <v>14</v>
      </c>
      <c r="C167" s="3">
        <v>1</v>
      </c>
      <c r="D167" t="s">
        <v>12</v>
      </c>
      <c r="I167" s="9" t="s">
        <v>333</v>
      </c>
    </row>
    <row r="170" spans="1:12" x14ac:dyDescent="0.25">
      <c r="A170" s="9" t="s">
        <v>359</v>
      </c>
    </row>
  </sheetData>
  <sortState xmlns:xlrd2="http://schemas.microsoft.com/office/spreadsheetml/2017/richdata2" ref="Q126:T136">
    <sortCondition ref="Q126:Q136"/>
  </sortState>
  <mergeCells count="10">
    <mergeCell ref="I2:N2"/>
    <mergeCell ref="Q2:V2"/>
    <mergeCell ref="A84:D84"/>
    <mergeCell ref="A94:D94"/>
    <mergeCell ref="A117:D117"/>
    <mergeCell ref="A2:F2"/>
    <mergeCell ref="Q94:T94"/>
    <mergeCell ref="I94:L94"/>
    <mergeCell ref="I117:L117"/>
    <mergeCell ref="Q117:T117"/>
  </mergeCells>
  <hyperlinks>
    <hyperlink ref="I167" r:id="rId1" xr:uid="{00000000-0004-0000-0200-000000000000}"/>
    <hyperlink ref="A170" r:id="rId2" xr:uid="{00000000-0004-0000-02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453B"/>
    <pageSetUpPr fitToPage="1"/>
  </sheetPr>
  <dimension ref="A1:Y188"/>
  <sheetViews>
    <sheetView zoomScale="80" zoomScaleNormal="80" workbookViewId="0">
      <selection activeCell="M34" sqref="M34"/>
    </sheetView>
  </sheetViews>
  <sheetFormatPr defaultColWidth="9.140625" defaultRowHeight="18.75" x14ac:dyDescent="0.3"/>
  <cols>
    <col min="1" max="1" width="50" style="213" customWidth="1"/>
    <col min="2" max="2" width="2.42578125" style="10" customWidth="1"/>
    <col min="3" max="3" width="14.7109375" style="10" bestFit="1" customWidth="1"/>
    <col min="4" max="4" width="2.85546875" style="10" customWidth="1"/>
    <col min="5" max="5" width="14.7109375" style="10" bestFit="1"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0.7109375" style="10" bestFit="1" customWidth="1"/>
    <col min="22" max="24" width="9.28515625" style="10" bestFit="1" customWidth="1"/>
    <col min="25" max="25" width="29.28515625" style="10" bestFit="1" customWidth="1"/>
    <col min="26" max="16384" width="9.140625" style="10"/>
  </cols>
  <sheetData>
    <row r="1" spans="1:25" ht="21.75" customHeight="1" x14ac:dyDescent="0.3">
      <c r="A1" s="242" t="s">
        <v>447</v>
      </c>
      <c r="B1" s="243"/>
      <c r="C1" s="243"/>
      <c r="D1" s="243"/>
      <c r="E1" s="243"/>
      <c r="F1" s="244"/>
      <c r="G1" s="88"/>
    </row>
    <row r="2" spans="1:25" ht="15.75" customHeight="1" x14ac:dyDescent="0.3">
      <c r="A2" s="245"/>
      <c r="B2" s="246"/>
      <c r="C2" s="246"/>
      <c r="D2" s="246"/>
      <c r="E2" s="246"/>
      <c r="F2" s="247"/>
      <c r="G2" s="88"/>
      <c r="T2" s="259" t="s">
        <v>585</v>
      </c>
      <c r="U2" s="260"/>
      <c r="V2" s="260"/>
      <c r="W2" s="260"/>
      <c r="X2" s="260"/>
      <c r="Y2" s="261"/>
    </row>
    <row r="3" spans="1:25" ht="15.75" customHeight="1" thickBot="1" x14ac:dyDescent="0.35">
      <c r="A3" s="248"/>
      <c r="B3" s="249"/>
      <c r="C3" s="249"/>
      <c r="D3" s="249"/>
      <c r="E3" s="249"/>
      <c r="F3" s="250"/>
      <c r="G3" s="88"/>
    </row>
    <row r="4" spans="1:25" ht="19.5" thickBot="1" x14ac:dyDescent="0.35">
      <c r="A4" s="89"/>
      <c r="B4" s="90"/>
      <c r="C4" s="91"/>
      <c r="D4" s="91"/>
      <c r="E4" s="91"/>
      <c r="F4" s="92"/>
      <c r="G4" s="88"/>
      <c r="I4" s="259" t="s">
        <v>421</v>
      </c>
      <c r="J4" s="260"/>
      <c r="K4" s="260"/>
      <c r="L4" s="260"/>
      <c r="M4" s="261"/>
      <c r="U4" s="10" t="s">
        <v>504</v>
      </c>
    </row>
    <row r="5" spans="1:25" ht="21.75" thickBot="1" x14ac:dyDescent="0.35">
      <c r="A5" s="93"/>
      <c r="B5" s="94"/>
      <c r="C5" s="94"/>
      <c r="D5" s="94"/>
      <c r="E5" s="255" t="s">
        <v>491</v>
      </c>
      <c r="F5" s="256"/>
      <c r="G5" s="88"/>
      <c r="I5" s="95" t="s">
        <v>493</v>
      </c>
      <c r="J5" s="96" t="s">
        <v>405</v>
      </c>
      <c r="K5" s="96" t="s">
        <v>406</v>
      </c>
      <c r="L5" s="95"/>
      <c r="M5" s="95" t="s">
        <v>407</v>
      </c>
      <c r="U5" s="97" t="s">
        <v>507</v>
      </c>
    </row>
    <row r="6" spans="1:25" ht="19.5" customHeight="1" x14ac:dyDescent="0.3">
      <c r="A6" s="98" t="s">
        <v>59</v>
      </c>
      <c r="B6" s="99"/>
      <c r="D6" s="100"/>
      <c r="E6" s="101"/>
      <c r="F6" s="102"/>
      <c r="G6" s="88"/>
      <c r="I6" s="103" t="s">
        <v>60</v>
      </c>
      <c r="J6" s="103" t="s">
        <v>60</v>
      </c>
      <c r="K6" s="103" t="s">
        <v>60</v>
      </c>
      <c r="L6" s="103"/>
      <c r="M6" s="2"/>
    </row>
    <row r="7" spans="1:25" ht="16.5" customHeight="1" x14ac:dyDescent="0.3">
      <c r="A7" s="104" t="s">
        <v>290</v>
      </c>
      <c r="B7" s="105"/>
      <c r="D7" s="100"/>
      <c r="E7" s="106"/>
      <c r="F7" s="102"/>
      <c r="G7" s="88"/>
      <c r="I7" s="35">
        <v>62.86</v>
      </c>
      <c r="J7" s="36">
        <v>140000</v>
      </c>
      <c r="K7" s="36">
        <v>130000</v>
      </c>
      <c r="L7" s="103"/>
      <c r="M7" s="45">
        <f>I7/J7*K7</f>
        <v>58.370000000000005</v>
      </c>
      <c r="U7" s="10" t="s">
        <v>505</v>
      </c>
    </row>
    <row r="8" spans="1:25" ht="16.5" customHeight="1" x14ac:dyDescent="0.3">
      <c r="A8" s="107" t="s">
        <v>519</v>
      </c>
      <c r="B8" s="108"/>
      <c r="C8" s="109"/>
      <c r="D8" s="110"/>
      <c r="E8" s="69">
        <v>11.01</v>
      </c>
      <c r="F8" s="30"/>
      <c r="G8" s="111"/>
      <c r="U8" s="97" t="s">
        <v>506</v>
      </c>
    </row>
    <row r="9" spans="1:25" ht="16.5" customHeight="1" x14ac:dyDescent="0.3">
      <c r="A9" s="112" t="s">
        <v>520</v>
      </c>
      <c r="B9" s="108"/>
      <c r="C9" s="113"/>
      <c r="D9" s="114"/>
      <c r="E9" s="70">
        <v>50</v>
      </c>
      <c r="F9" s="102" t="s">
        <v>391</v>
      </c>
      <c r="G9" s="115"/>
    </row>
    <row r="10" spans="1:25" ht="16.5" customHeight="1" x14ac:dyDescent="0.3">
      <c r="A10" s="107" t="s">
        <v>54</v>
      </c>
      <c r="B10" s="108"/>
      <c r="C10" s="113"/>
      <c r="D10" s="114"/>
      <c r="E10" s="73">
        <v>1</v>
      </c>
      <c r="F10" s="102" t="s">
        <v>54</v>
      </c>
      <c r="G10" s="116"/>
      <c r="I10" s="259" t="s">
        <v>410</v>
      </c>
      <c r="J10" s="260"/>
      <c r="K10" s="260"/>
      <c r="L10" s="260"/>
      <c r="M10" s="261"/>
      <c r="U10" s="257" t="s">
        <v>527</v>
      </c>
      <c r="V10" s="258"/>
      <c r="W10" s="258"/>
      <c r="X10" s="258"/>
      <c r="Y10" s="258"/>
    </row>
    <row r="11" spans="1:25" ht="16.5" hidden="1" customHeight="1" x14ac:dyDescent="0.3">
      <c r="A11" s="107"/>
      <c r="B11" s="117"/>
      <c r="C11" s="113"/>
      <c r="D11" s="114"/>
      <c r="E11" s="118"/>
      <c r="F11" s="102"/>
      <c r="G11" s="116"/>
      <c r="U11" s="258"/>
      <c r="V11" s="258"/>
      <c r="W11" s="258"/>
      <c r="X11" s="258"/>
      <c r="Y11" s="258"/>
    </row>
    <row r="12" spans="1:25" ht="16.5" hidden="1" customHeight="1" x14ac:dyDescent="0.3">
      <c r="A12" s="119" t="s">
        <v>371</v>
      </c>
      <c r="B12" s="120"/>
      <c r="C12" s="121"/>
      <c r="D12" s="122"/>
      <c r="E12" s="123">
        <v>0</v>
      </c>
      <c r="F12" s="124"/>
      <c r="G12" s="125"/>
      <c r="U12" s="258"/>
      <c r="V12" s="258"/>
      <c r="W12" s="258"/>
      <c r="X12" s="258"/>
      <c r="Y12" s="258"/>
    </row>
    <row r="13" spans="1:25" ht="16.5" customHeight="1" x14ac:dyDescent="0.3">
      <c r="A13" s="107"/>
      <c r="B13" s="126"/>
      <c r="C13" s="127"/>
      <c r="D13" s="128"/>
      <c r="E13" s="129"/>
      <c r="F13" s="102"/>
      <c r="G13" s="116"/>
      <c r="U13" s="258"/>
      <c r="V13" s="258"/>
      <c r="W13" s="258"/>
      <c r="X13" s="258"/>
      <c r="Y13" s="258"/>
    </row>
    <row r="14" spans="1:25" ht="16.5" customHeight="1" x14ac:dyDescent="0.3">
      <c r="A14" s="251" t="s">
        <v>291</v>
      </c>
      <c r="B14" s="253"/>
      <c r="C14" s="127"/>
      <c r="D14" s="131"/>
      <c r="E14" s="132" t="s">
        <v>35</v>
      </c>
      <c r="F14" s="133"/>
      <c r="G14" s="134"/>
      <c r="I14" s="135" t="s">
        <v>427</v>
      </c>
      <c r="J14" s="135" t="s">
        <v>428</v>
      </c>
      <c r="K14" s="135" t="s">
        <v>437</v>
      </c>
      <c r="L14" s="135" t="s">
        <v>435</v>
      </c>
      <c r="M14" s="95" t="s">
        <v>407</v>
      </c>
    </row>
    <row r="15" spans="1:25" ht="16.5" customHeight="1" thickBot="1" x14ac:dyDescent="0.35">
      <c r="A15" s="252"/>
      <c r="B15" s="254"/>
      <c r="C15" s="34"/>
      <c r="D15" s="33"/>
      <c r="E15" s="24">
        <f>(E8*E9)+E12</f>
        <v>550.5</v>
      </c>
      <c r="F15" s="31"/>
      <c r="G15" s="29"/>
      <c r="I15" s="135"/>
      <c r="J15" s="103" t="s">
        <v>60</v>
      </c>
      <c r="K15" s="135"/>
      <c r="L15" s="103" t="s">
        <v>60</v>
      </c>
      <c r="M15" s="95"/>
      <c r="U15" s="264" t="s">
        <v>456</v>
      </c>
      <c r="V15" s="265"/>
      <c r="W15" s="265"/>
      <c r="X15" s="265"/>
      <c r="Y15" s="266"/>
    </row>
    <row r="16" spans="1:25" ht="16.5" customHeight="1" thickTop="1" x14ac:dyDescent="0.3">
      <c r="A16" s="107"/>
      <c r="B16" s="108"/>
      <c r="C16" s="136" t="s">
        <v>448</v>
      </c>
      <c r="D16" s="136"/>
      <c r="E16" s="137"/>
      <c r="F16" s="138"/>
      <c r="G16" s="115"/>
      <c r="I16" s="139">
        <v>0.28000000000000003</v>
      </c>
      <c r="J16" s="35">
        <v>489</v>
      </c>
      <c r="K16" s="37" t="s">
        <v>3</v>
      </c>
      <c r="L16" s="36">
        <v>0</v>
      </c>
      <c r="M16" s="39">
        <f>'Fertilizer Calculations (Base)'!J5</f>
        <v>0</v>
      </c>
      <c r="U16" s="10" t="s">
        <v>457</v>
      </c>
      <c r="Y16" s="54" t="s">
        <v>458</v>
      </c>
    </row>
    <row r="17" spans="1:25" ht="16.5" customHeight="1" x14ac:dyDescent="0.3">
      <c r="A17" s="140" t="s">
        <v>252</v>
      </c>
      <c r="B17" s="141"/>
      <c r="C17" s="142" t="s">
        <v>392</v>
      </c>
      <c r="D17" s="136"/>
      <c r="E17" s="143"/>
      <c r="F17" s="144"/>
      <c r="G17" s="115"/>
      <c r="I17" s="139" t="s">
        <v>454</v>
      </c>
      <c r="J17" s="35">
        <v>550</v>
      </c>
      <c r="K17" s="37" t="s">
        <v>3</v>
      </c>
      <c r="L17" s="36">
        <v>0</v>
      </c>
      <c r="M17" s="39">
        <f>'Fertilizer Calculations (Base)'!J6</f>
        <v>0</v>
      </c>
      <c r="T17" s="54"/>
      <c r="U17" s="37" t="s">
        <v>51</v>
      </c>
      <c r="V17" s="37" t="s">
        <v>52</v>
      </c>
      <c r="W17" s="37" t="s">
        <v>445</v>
      </c>
      <c r="X17" s="37" t="s">
        <v>53</v>
      </c>
      <c r="Y17" s="103" t="s">
        <v>484</v>
      </c>
    </row>
    <row r="18" spans="1:25" ht="16.5" customHeight="1" x14ac:dyDescent="0.3">
      <c r="A18" s="145" t="s">
        <v>372</v>
      </c>
      <c r="B18" s="141"/>
      <c r="C18" s="142" t="s">
        <v>393</v>
      </c>
      <c r="D18" s="136"/>
      <c r="E18" s="146" t="s">
        <v>35</v>
      </c>
      <c r="F18" s="147"/>
      <c r="G18" s="115"/>
      <c r="I18" s="37" t="s">
        <v>429</v>
      </c>
      <c r="J18" s="35">
        <v>823</v>
      </c>
      <c r="K18" s="37" t="s">
        <v>438</v>
      </c>
      <c r="L18" s="36">
        <v>0</v>
      </c>
      <c r="M18" s="39">
        <f>'Fertilizer Calculations (Base)'!J4</f>
        <v>0</v>
      </c>
      <c r="T18" s="103" t="s">
        <v>485</v>
      </c>
      <c r="U18" s="60">
        <v>0</v>
      </c>
      <c r="V18" s="60">
        <v>0</v>
      </c>
      <c r="W18" s="60">
        <v>0</v>
      </c>
      <c r="X18" s="60">
        <v>0</v>
      </c>
      <c r="Y18" s="61" t="s">
        <v>467</v>
      </c>
    </row>
    <row r="19" spans="1:25" ht="16.5" customHeight="1" x14ac:dyDescent="0.3">
      <c r="A19" s="130" t="s">
        <v>36</v>
      </c>
      <c r="B19" s="108"/>
      <c r="C19" s="76" t="s">
        <v>508</v>
      </c>
      <c r="D19" s="26"/>
      <c r="E19" s="148">
        <f>M7</f>
        <v>58.370000000000005</v>
      </c>
      <c r="F19" s="32">
        <f t="shared" ref="F19:F39" si="0">E19</f>
        <v>58.370000000000005</v>
      </c>
      <c r="G19" s="134"/>
      <c r="I19" s="37" t="s">
        <v>408</v>
      </c>
      <c r="J19" s="35">
        <v>841</v>
      </c>
      <c r="K19" s="37" t="s">
        <v>438</v>
      </c>
      <c r="L19" s="36">
        <v>0</v>
      </c>
      <c r="M19" s="39">
        <f>'Fertilizer Calculations (Base)'!J8+'Fertilizer Calculations (Base)'!J14</f>
        <v>0</v>
      </c>
      <c r="T19" s="149" t="s">
        <v>489</v>
      </c>
      <c r="U19" s="150">
        <f>Manure!G8</f>
        <v>0</v>
      </c>
      <c r="V19" s="150">
        <f>Manure!H8</f>
        <v>0</v>
      </c>
      <c r="W19" s="150">
        <f>Manure!I8</f>
        <v>0</v>
      </c>
      <c r="X19" s="150">
        <f>Manure!J8</f>
        <v>0</v>
      </c>
      <c r="Y19" s="10" t="s">
        <v>460</v>
      </c>
    </row>
    <row r="20" spans="1:25" ht="16.5" customHeight="1" x14ac:dyDescent="0.3">
      <c r="A20" s="107" t="s">
        <v>37</v>
      </c>
      <c r="B20" s="117"/>
      <c r="C20" s="76" t="s">
        <v>509</v>
      </c>
      <c r="D20" s="26"/>
      <c r="E20" s="148">
        <f>M33</f>
        <v>129.43599999999998</v>
      </c>
      <c r="F20" s="32">
        <f t="shared" si="0"/>
        <v>129.43599999999998</v>
      </c>
      <c r="G20" s="29"/>
      <c r="I20" s="37" t="s">
        <v>430</v>
      </c>
      <c r="J20" s="35">
        <v>893</v>
      </c>
      <c r="K20" s="37" t="s">
        <v>438</v>
      </c>
      <c r="L20" s="36">
        <v>0</v>
      </c>
      <c r="M20" s="39">
        <f>'Fertilizer Calculations (Base)'!J9+'Fertilizer Calculations (Base)'!J15</f>
        <v>0</v>
      </c>
    </row>
    <row r="21" spans="1:25" ht="16.5" customHeight="1" x14ac:dyDescent="0.3">
      <c r="A21" s="107" t="s">
        <v>257</v>
      </c>
      <c r="B21" s="117"/>
      <c r="C21" s="76" t="s">
        <v>510</v>
      </c>
      <c r="D21" s="26"/>
      <c r="E21" s="151">
        <f>M75</f>
        <v>38.748750000000001</v>
      </c>
      <c r="F21" s="32">
        <f t="shared" si="0"/>
        <v>38.748750000000001</v>
      </c>
      <c r="G21" s="29"/>
      <c r="I21" s="37" t="s">
        <v>499</v>
      </c>
      <c r="J21" s="35">
        <v>670</v>
      </c>
      <c r="K21" s="37" t="s">
        <v>3</v>
      </c>
      <c r="L21" s="36">
        <v>10</v>
      </c>
      <c r="M21" s="39">
        <f>'Fertilizer Calculations (Base)'!J7</f>
        <v>39.195</v>
      </c>
      <c r="U21" s="10" t="s">
        <v>461</v>
      </c>
      <c r="Y21" s="54" t="s">
        <v>458</v>
      </c>
    </row>
    <row r="22" spans="1:25" ht="16.5" customHeight="1" x14ac:dyDescent="0.3">
      <c r="A22" s="107" t="s">
        <v>41</v>
      </c>
      <c r="B22" s="108"/>
      <c r="C22" s="76" t="s">
        <v>511</v>
      </c>
      <c r="D22" s="26"/>
      <c r="E22" s="71">
        <v>20</v>
      </c>
      <c r="F22" s="32">
        <f t="shared" si="0"/>
        <v>20</v>
      </c>
      <c r="G22" s="29"/>
      <c r="I22" s="37" t="s">
        <v>409</v>
      </c>
      <c r="J22" s="35">
        <v>500</v>
      </c>
      <c r="K22" s="37" t="s">
        <v>438</v>
      </c>
      <c r="L22" s="36">
        <v>100</v>
      </c>
      <c r="M22" s="39">
        <f>'Fertilizer Calculations (Base)'!J16</f>
        <v>25</v>
      </c>
      <c r="O22" s="152">
        <f>J24/2000</f>
        <v>0.26950000000000002</v>
      </c>
      <c r="P22" s="152">
        <f>O22*L24</f>
        <v>10.241000000000001</v>
      </c>
      <c r="U22" s="37" t="s">
        <v>51</v>
      </c>
      <c r="V22" s="37" t="s">
        <v>52</v>
      </c>
      <c r="W22" s="37" t="s">
        <v>445</v>
      </c>
      <c r="X22" s="37" t="s">
        <v>53</v>
      </c>
      <c r="Y22" s="103" t="s">
        <v>484</v>
      </c>
    </row>
    <row r="23" spans="1:25" ht="16.5" customHeight="1" x14ac:dyDescent="0.3">
      <c r="A23" s="107" t="s">
        <v>397</v>
      </c>
      <c r="B23" s="108"/>
      <c r="C23" s="76" t="s">
        <v>398</v>
      </c>
      <c r="D23" s="26"/>
      <c r="E23" s="71">
        <v>2</v>
      </c>
      <c r="F23" s="32">
        <f t="shared" si="0"/>
        <v>2</v>
      </c>
      <c r="G23" s="29"/>
      <c r="I23" s="37" t="s">
        <v>498</v>
      </c>
      <c r="J23" s="35">
        <v>0</v>
      </c>
      <c r="K23" s="37" t="s">
        <v>438</v>
      </c>
      <c r="L23" s="36">
        <v>0</v>
      </c>
      <c r="M23" s="39">
        <f>'Fertilizer Calculations (Base)'!J17</f>
        <v>0</v>
      </c>
      <c r="O23" s="2"/>
      <c r="T23" s="103" t="s">
        <v>485</v>
      </c>
      <c r="U23" s="60">
        <v>0</v>
      </c>
      <c r="V23" s="60">
        <v>0</v>
      </c>
      <c r="W23" s="60">
        <v>0</v>
      </c>
      <c r="X23" s="60">
        <v>0</v>
      </c>
      <c r="Y23" s="61" t="s">
        <v>467</v>
      </c>
    </row>
    <row r="24" spans="1:25" ht="16.5" customHeight="1" x14ac:dyDescent="0.3">
      <c r="A24" s="107" t="s">
        <v>396</v>
      </c>
      <c r="B24" s="108"/>
      <c r="C24" s="76" t="s">
        <v>516</v>
      </c>
      <c r="D24" s="26"/>
      <c r="E24" s="71">
        <v>0</v>
      </c>
      <c r="F24" s="32">
        <f t="shared" si="0"/>
        <v>0</v>
      </c>
      <c r="G24" s="29"/>
      <c r="I24" s="37" t="s">
        <v>455</v>
      </c>
      <c r="J24" s="35">
        <v>539</v>
      </c>
      <c r="K24" s="37" t="s">
        <v>438</v>
      </c>
      <c r="L24" s="36">
        <v>38</v>
      </c>
      <c r="M24" s="40">
        <f>'Fertilizer Calculations (Base)'!J10+'Fertilizer Calculations (Base)'!J19</f>
        <v>10.241</v>
      </c>
      <c r="T24" s="153" t="s">
        <v>490</v>
      </c>
      <c r="U24" s="150">
        <f>Manure!G10</f>
        <v>0</v>
      </c>
      <c r="V24" s="150">
        <f>Manure!H10</f>
        <v>0</v>
      </c>
      <c r="W24" s="150">
        <f>Manure!I10</f>
        <v>0</v>
      </c>
      <c r="X24" s="150">
        <f>Manure!J10</f>
        <v>0</v>
      </c>
      <c r="Y24" s="10" t="s">
        <v>460</v>
      </c>
    </row>
    <row r="25" spans="1:25" ht="16.5" customHeight="1" x14ac:dyDescent="0.3">
      <c r="A25" s="107" t="s">
        <v>43</v>
      </c>
      <c r="B25" s="117"/>
      <c r="C25" s="76" t="s">
        <v>402</v>
      </c>
      <c r="D25" s="26"/>
      <c r="E25" s="72">
        <v>24</v>
      </c>
      <c r="F25" s="32">
        <f t="shared" si="0"/>
        <v>24</v>
      </c>
      <c r="G25" s="29"/>
      <c r="I25" s="37" t="s">
        <v>500</v>
      </c>
      <c r="J25" s="35">
        <v>0</v>
      </c>
      <c r="K25" s="37" t="s">
        <v>438</v>
      </c>
      <c r="L25" s="36">
        <v>0</v>
      </c>
      <c r="M25" s="39">
        <f>'Fertilizer Calculations (Base)'!J20</f>
        <v>0</v>
      </c>
    </row>
    <row r="26" spans="1:25" ht="16.5" customHeight="1" x14ac:dyDescent="0.3">
      <c r="A26" s="107" t="s">
        <v>46</v>
      </c>
      <c r="B26" s="117"/>
      <c r="C26" s="76" t="s">
        <v>403</v>
      </c>
      <c r="D26" s="26"/>
      <c r="E26" s="72">
        <v>36</v>
      </c>
      <c r="F26" s="32">
        <f t="shared" si="0"/>
        <v>36</v>
      </c>
      <c r="G26" s="29"/>
      <c r="I26" s="37" t="s">
        <v>503</v>
      </c>
      <c r="J26" s="35">
        <v>55</v>
      </c>
      <c r="K26" s="37" t="s">
        <v>488</v>
      </c>
      <c r="L26" s="36">
        <v>1</v>
      </c>
      <c r="M26" s="39">
        <f>J26*L26</f>
        <v>55</v>
      </c>
      <c r="U26" s="257" t="s">
        <v>483</v>
      </c>
      <c r="V26" s="257"/>
      <c r="W26" s="257"/>
      <c r="X26" s="257"/>
      <c r="Y26" s="257"/>
    </row>
    <row r="27" spans="1:25" ht="16.5" customHeight="1" x14ac:dyDescent="0.3">
      <c r="A27" s="107" t="s">
        <v>38</v>
      </c>
      <c r="B27" s="117"/>
      <c r="C27" s="76" t="s">
        <v>512</v>
      </c>
      <c r="D27" s="26"/>
      <c r="E27" s="72">
        <v>12</v>
      </c>
      <c r="F27" s="32">
        <f t="shared" si="0"/>
        <v>12</v>
      </c>
      <c r="G27" s="29"/>
      <c r="I27" s="37" t="s">
        <v>466</v>
      </c>
      <c r="J27" s="35">
        <v>50</v>
      </c>
      <c r="K27" s="37" t="s">
        <v>488</v>
      </c>
      <c r="L27" s="36">
        <v>0</v>
      </c>
      <c r="M27" s="39">
        <f>J27*L27</f>
        <v>0</v>
      </c>
      <c r="U27" s="257"/>
      <c r="V27" s="257"/>
      <c r="W27" s="257"/>
      <c r="X27" s="257"/>
      <c r="Y27" s="257"/>
    </row>
    <row r="28" spans="1:25" ht="16.5" customHeight="1" x14ac:dyDescent="0.3">
      <c r="A28" s="107" t="s">
        <v>390</v>
      </c>
      <c r="B28" s="108"/>
      <c r="C28" s="76" t="s">
        <v>517</v>
      </c>
      <c r="D28" s="26"/>
      <c r="E28" s="72">
        <v>5</v>
      </c>
      <c r="F28" s="32">
        <f t="shared" si="0"/>
        <v>5</v>
      </c>
      <c r="G28" s="29"/>
      <c r="I28" s="37" t="s">
        <v>486</v>
      </c>
      <c r="J28" s="35">
        <v>0.01</v>
      </c>
      <c r="K28" s="37" t="s">
        <v>487</v>
      </c>
      <c r="L28" s="65">
        <v>0</v>
      </c>
      <c r="M28" s="46">
        <f>J28*L28*1000</f>
        <v>0</v>
      </c>
    </row>
    <row r="29" spans="1:25" ht="16.5" customHeight="1" x14ac:dyDescent="0.3">
      <c r="A29" s="107" t="s">
        <v>42</v>
      </c>
      <c r="B29" s="108"/>
      <c r="C29" s="76" t="s">
        <v>404</v>
      </c>
      <c r="D29" s="26"/>
      <c r="E29" s="72">
        <v>3</v>
      </c>
      <c r="F29" s="32">
        <f t="shared" si="0"/>
        <v>3</v>
      </c>
      <c r="G29" s="29"/>
      <c r="U29" s="154" t="s">
        <v>480</v>
      </c>
      <c r="V29" s="154"/>
      <c r="W29" s="154"/>
      <c r="X29" s="154"/>
    </row>
    <row r="30" spans="1:25" ht="16.5" customHeight="1" x14ac:dyDescent="0.3">
      <c r="A30" s="107" t="s">
        <v>48</v>
      </c>
      <c r="B30" s="108"/>
      <c r="C30" s="76" t="s">
        <v>399</v>
      </c>
      <c r="D30" s="26"/>
      <c r="E30" s="71">
        <v>1</v>
      </c>
      <c r="F30" s="32">
        <f t="shared" si="0"/>
        <v>1</v>
      </c>
      <c r="G30" s="29"/>
      <c r="I30" s="135" t="s">
        <v>593</v>
      </c>
      <c r="J30" s="135" t="s">
        <v>594</v>
      </c>
      <c r="K30" s="165"/>
      <c r="L30" s="135" t="s">
        <v>595</v>
      </c>
      <c r="M30" s="95" t="s">
        <v>407</v>
      </c>
      <c r="U30" s="157" t="s">
        <v>51</v>
      </c>
      <c r="V30" s="157" t="s">
        <v>52</v>
      </c>
      <c r="W30" s="157" t="s">
        <v>445</v>
      </c>
      <c r="X30" s="157" t="s">
        <v>53</v>
      </c>
    </row>
    <row r="31" spans="1:25" ht="16.5" customHeight="1" x14ac:dyDescent="0.3">
      <c r="A31" s="107" t="s">
        <v>49</v>
      </c>
      <c r="B31" s="108"/>
      <c r="C31" s="76" t="s">
        <v>513</v>
      </c>
      <c r="D31" s="26"/>
      <c r="E31" s="72">
        <v>4</v>
      </c>
      <c r="F31" s="32">
        <f t="shared" si="0"/>
        <v>4</v>
      </c>
      <c r="G31" s="29"/>
      <c r="I31" s="37" t="s">
        <v>168</v>
      </c>
      <c r="J31" s="35">
        <v>10</v>
      </c>
      <c r="K31" s="37"/>
      <c r="L31" s="36">
        <v>0</v>
      </c>
      <c r="M31" s="39">
        <f>J31*L31</f>
        <v>0</v>
      </c>
      <c r="U31" s="157">
        <v>42</v>
      </c>
      <c r="V31" s="157">
        <v>75</v>
      </c>
      <c r="W31" s="157">
        <v>58</v>
      </c>
      <c r="X31" s="157">
        <v>8</v>
      </c>
    </row>
    <row r="32" spans="1:25" ht="16.5" customHeight="1" x14ac:dyDescent="0.3">
      <c r="A32" s="107" t="s">
        <v>368</v>
      </c>
      <c r="B32" s="108"/>
      <c r="C32" s="76" t="s">
        <v>514</v>
      </c>
      <c r="D32" s="26"/>
      <c r="E32" s="72">
        <v>14</v>
      </c>
      <c r="F32" s="32">
        <f t="shared" si="0"/>
        <v>14</v>
      </c>
      <c r="G32" s="29"/>
    </row>
    <row r="33" spans="1:25" ht="16.5" customHeight="1" x14ac:dyDescent="0.3">
      <c r="A33" s="112" t="s">
        <v>541</v>
      </c>
      <c r="B33" s="108"/>
      <c r="C33" s="76" t="s">
        <v>543</v>
      </c>
      <c r="D33" s="26"/>
      <c r="E33" s="72">
        <v>0</v>
      </c>
      <c r="F33" s="32">
        <f t="shared" si="0"/>
        <v>0</v>
      </c>
      <c r="G33" s="29"/>
      <c r="L33" s="155" t="s">
        <v>434</v>
      </c>
      <c r="M33" s="156">
        <f>SUM(M16:M31)</f>
        <v>129.43599999999998</v>
      </c>
      <c r="R33" s="10">
        <v>0</v>
      </c>
      <c r="S33" s="10" t="s">
        <v>444</v>
      </c>
      <c r="U33" s="154" t="s">
        <v>481</v>
      </c>
      <c r="V33" s="154"/>
      <c r="W33" s="154"/>
      <c r="X33" s="154"/>
    </row>
    <row r="34" spans="1:25" ht="16.5" customHeight="1" x14ac:dyDescent="0.3">
      <c r="A34" s="112" t="s">
        <v>542</v>
      </c>
      <c r="B34" s="108"/>
      <c r="C34" s="76" t="s">
        <v>544</v>
      </c>
      <c r="D34" s="26"/>
      <c r="E34" s="72">
        <v>0</v>
      </c>
      <c r="F34" s="32">
        <f t="shared" si="0"/>
        <v>0</v>
      </c>
      <c r="G34" s="29"/>
      <c r="M34" s="156"/>
      <c r="R34" s="161">
        <v>8</v>
      </c>
      <c r="S34" s="162" t="s">
        <v>440</v>
      </c>
      <c r="T34" s="162"/>
      <c r="U34" s="157" t="s">
        <v>51</v>
      </c>
      <c r="V34" s="157" t="s">
        <v>52</v>
      </c>
      <c r="W34" s="157" t="s">
        <v>445</v>
      </c>
      <c r="X34" s="157" t="s">
        <v>53</v>
      </c>
    </row>
    <row r="35" spans="1:25" ht="16.5" customHeight="1" x14ac:dyDescent="0.3">
      <c r="A35" s="112" t="s">
        <v>479</v>
      </c>
      <c r="B35" s="108"/>
      <c r="C35" s="76" t="s">
        <v>400</v>
      </c>
      <c r="D35" s="26"/>
      <c r="E35" s="72">
        <v>7</v>
      </c>
      <c r="F35" s="32">
        <f t="shared" si="0"/>
        <v>7</v>
      </c>
      <c r="G35" s="29"/>
      <c r="I35" s="267" t="s">
        <v>591</v>
      </c>
      <c r="J35" s="158" t="s">
        <v>51</v>
      </c>
      <c r="K35" s="158" t="s">
        <v>52</v>
      </c>
      <c r="L35" s="158" t="s">
        <v>445</v>
      </c>
      <c r="M35" s="158" t="s">
        <v>53</v>
      </c>
      <c r="R35" s="161">
        <v>16</v>
      </c>
      <c r="S35" s="162" t="s">
        <v>441</v>
      </c>
      <c r="T35" s="162"/>
      <c r="U35" s="157">
        <v>43</v>
      </c>
      <c r="V35" s="157">
        <v>17</v>
      </c>
      <c r="W35" s="157">
        <v>38</v>
      </c>
      <c r="X35" s="157">
        <v>10</v>
      </c>
    </row>
    <row r="36" spans="1:25" ht="16.5" customHeight="1" x14ac:dyDescent="0.3">
      <c r="A36" s="112" t="s">
        <v>366</v>
      </c>
      <c r="B36" s="108"/>
      <c r="C36" s="76" t="s">
        <v>401</v>
      </c>
      <c r="D36" s="26"/>
      <c r="E36" s="72">
        <v>0</v>
      </c>
      <c r="F36" s="32">
        <f t="shared" si="0"/>
        <v>0</v>
      </c>
      <c r="G36" s="29"/>
      <c r="I36" s="267"/>
      <c r="J36" s="159">
        <f>'Fertilizer Calculations (Base)'!P5+(U19*L27)+(L28*U24)</f>
        <v>19.68</v>
      </c>
      <c r="K36" s="159">
        <f>'Fertilizer Calculations (Base)'!Q5+(V19*L27)+(L28*V24)</f>
        <v>39.78</v>
      </c>
      <c r="L36" s="159">
        <f>'Fertilizer Calculations (Base)'!R5+(W19*L27)+(L28*W24)</f>
        <v>60</v>
      </c>
      <c r="M36" s="159">
        <f>'Fertilizer Calculations (Base)'!S5+(X19*L27)+(L28*X24)</f>
        <v>9.1199999999999992</v>
      </c>
      <c r="R36" s="161">
        <v>128</v>
      </c>
      <c r="S36" s="162" t="s">
        <v>442</v>
      </c>
      <c r="T36" s="162"/>
    </row>
    <row r="37" spans="1:25" ht="16.5" customHeight="1" x14ac:dyDescent="0.3">
      <c r="A37" s="74" t="s">
        <v>482</v>
      </c>
      <c r="B37" s="108"/>
      <c r="C37" s="76"/>
      <c r="D37" s="163"/>
      <c r="E37" s="71">
        <v>0</v>
      </c>
      <c r="F37" s="32">
        <f t="shared" si="0"/>
        <v>0</v>
      </c>
      <c r="G37" s="29"/>
      <c r="I37" s="160"/>
      <c r="J37" s="160"/>
      <c r="K37" s="150"/>
      <c r="L37" s="150"/>
      <c r="M37" s="150"/>
      <c r="N37" s="164"/>
      <c r="R37" s="10">
        <v>4</v>
      </c>
      <c r="S37" s="10" t="s">
        <v>443</v>
      </c>
      <c r="U37" s="262" t="s">
        <v>569</v>
      </c>
      <c r="V37" s="262"/>
      <c r="W37" s="262"/>
      <c r="X37" s="262"/>
      <c r="Y37" s="262"/>
    </row>
    <row r="38" spans="1:25" ht="16.5" customHeight="1" x14ac:dyDescent="0.3">
      <c r="A38" s="74" t="s">
        <v>482</v>
      </c>
      <c r="B38" s="108"/>
      <c r="C38" s="76"/>
      <c r="D38" s="163"/>
      <c r="E38" s="71">
        <v>0</v>
      </c>
      <c r="F38" s="32">
        <f t="shared" si="0"/>
        <v>0</v>
      </c>
      <c r="G38" s="29"/>
      <c r="I38" s="259" t="s">
        <v>436</v>
      </c>
      <c r="J38" s="260"/>
      <c r="K38" s="260"/>
      <c r="L38" s="260"/>
      <c r="M38" s="261"/>
      <c r="U38" s="262"/>
      <c r="V38" s="262"/>
      <c r="W38" s="262"/>
      <c r="X38" s="262"/>
      <c r="Y38" s="262"/>
    </row>
    <row r="39" spans="1:25" ht="16.5" customHeight="1" x14ac:dyDescent="0.3">
      <c r="A39" s="74" t="s">
        <v>482</v>
      </c>
      <c r="B39" s="108"/>
      <c r="C39" s="76"/>
      <c r="D39" s="163"/>
      <c r="E39" s="71">
        <v>0</v>
      </c>
      <c r="F39" s="32">
        <f t="shared" si="0"/>
        <v>0</v>
      </c>
      <c r="G39" s="29"/>
      <c r="U39" s="262"/>
      <c r="V39" s="262"/>
      <c r="W39" s="262"/>
      <c r="X39" s="262"/>
      <c r="Y39" s="262"/>
    </row>
    <row r="40" spans="1:25" ht="16.5" customHeight="1" thickBot="1" x14ac:dyDescent="0.35">
      <c r="A40" s="166" t="s">
        <v>251</v>
      </c>
      <c r="B40" s="167"/>
      <c r="C40" s="18"/>
      <c r="D40" s="22"/>
      <c r="E40" s="23">
        <f>SUM(E19:E39)</f>
        <v>354.55475000000001</v>
      </c>
      <c r="F40" s="168"/>
      <c r="G40" s="29"/>
      <c r="I40" s="263" t="s">
        <v>522</v>
      </c>
      <c r="J40" s="263"/>
      <c r="K40" s="263"/>
      <c r="L40" s="263"/>
      <c r="M40" s="263"/>
      <c r="U40" s="262"/>
      <c r="V40" s="262"/>
      <c r="W40" s="262"/>
      <c r="X40" s="262"/>
      <c r="Y40" s="262"/>
    </row>
    <row r="41" spans="1:25" ht="16.5" customHeight="1" thickTop="1" x14ac:dyDescent="0.3">
      <c r="A41" s="169" t="s">
        <v>370</v>
      </c>
      <c r="B41" s="170"/>
      <c r="C41" s="171"/>
      <c r="D41" s="172"/>
      <c r="E41" s="173">
        <f>E15-E40</f>
        <v>195.94524999999999</v>
      </c>
      <c r="F41" s="174"/>
      <c r="G41" s="29"/>
      <c r="I41" s="135" t="s">
        <v>427</v>
      </c>
      <c r="J41" s="135" t="s">
        <v>439</v>
      </c>
      <c r="K41" s="165" t="s">
        <v>437</v>
      </c>
      <c r="L41" s="135" t="s">
        <v>435</v>
      </c>
      <c r="M41" s="95" t="s">
        <v>407</v>
      </c>
      <c r="U41" s="262"/>
      <c r="V41" s="262"/>
      <c r="W41" s="262"/>
      <c r="X41" s="262"/>
      <c r="Y41" s="262"/>
    </row>
    <row r="42" spans="1:25" ht="16.5" customHeight="1" x14ac:dyDescent="0.3">
      <c r="A42" s="175"/>
      <c r="B42" s="141"/>
      <c r="C42" s="176"/>
      <c r="D42" s="177"/>
      <c r="E42" s="178"/>
      <c r="F42" s="138"/>
      <c r="G42" s="29"/>
      <c r="I42" s="103" t="s">
        <v>60</v>
      </c>
      <c r="J42" s="103" t="s">
        <v>60</v>
      </c>
      <c r="K42" s="103" t="s">
        <v>60</v>
      </c>
      <c r="L42" s="103" t="s">
        <v>60</v>
      </c>
      <c r="M42" s="95"/>
      <c r="U42" s="262"/>
      <c r="V42" s="262"/>
      <c r="W42" s="262"/>
      <c r="X42" s="262"/>
      <c r="Y42" s="262"/>
    </row>
    <row r="43" spans="1:25" ht="16.5" customHeight="1" x14ac:dyDescent="0.3">
      <c r="A43" s="179" t="s">
        <v>373</v>
      </c>
      <c r="B43" s="141"/>
      <c r="C43" s="176"/>
      <c r="D43" s="177"/>
      <c r="E43" s="146" t="s">
        <v>35</v>
      </c>
      <c r="F43" s="147"/>
      <c r="G43" s="29"/>
      <c r="I43" s="36" t="s">
        <v>497</v>
      </c>
      <c r="J43" s="35">
        <v>44.14</v>
      </c>
      <c r="K43" s="55" t="s">
        <v>440</v>
      </c>
      <c r="L43" s="36">
        <v>1.5</v>
      </c>
      <c r="M43" s="39">
        <f>IFERROR(J43/(_xlfn.XLOOKUP(K43,$S$33:$S$37,$R$33:$R$37))*L43,0)</f>
        <v>8.276250000000001</v>
      </c>
    </row>
    <row r="44" spans="1:25" ht="16.5" customHeight="1" x14ac:dyDescent="0.3">
      <c r="A44" s="180" t="s">
        <v>256</v>
      </c>
      <c r="B44" s="108"/>
      <c r="C44" s="76" t="s">
        <v>515</v>
      </c>
      <c r="D44" s="163"/>
      <c r="E44" s="72">
        <v>9</v>
      </c>
      <c r="F44" s="32">
        <f t="shared" ref="F44:F50" si="1">E44</f>
        <v>9</v>
      </c>
      <c r="G44" s="29"/>
      <c r="I44" s="36" t="s">
        <v>496</v>
      </c>
      <c r="J44" s="35">
        <v>63.98</v>
      </c>
      <c r="K44" s="55" t="s">
        <v>442</v>
      </c>
      <c r="L44" s="36">
        <v>24</v>
      </c>
      <c r="M44" s="39">
        <f t="shared" ref="M44" si="2">IFERROR(J44/(_xlfn.XLOOKUP(K44,$S$33:$S$37,$R$33:$R$37))*L44,0)</f>
        <v>11.99625</v>
      </c>
      <c r="U44" s="257" t="s">
        <v>596</v>
      </c>
      <c r="V44" s="257"/>
      <c r="W44" s="257"/>
      <c r="X44" s="257"/>
      <c r="Y44" s="257"/>
    </row>
    <row r="45" spans="1:25" ht="16.5" customHeight="1" x14ac:dyDescent="0.3">
      <c r="A45" s="112" t="s">
        <v>169</v>
      </c>
      <c r="B45" s="108"/>
      <c r="C45" s="76" t="s">
        <v>518</v>
      </c>
      <c r="D45" s="163"/>
      <c r="E45" s="72">
        <v>143</v>
      </c>
      <c r="F45" s="32">
        <f t="shared" si="1"/>
        <v>143</v>
      </c>
      <c r="G45" s="29"/>
      <c r="I45" s="36" t="s">
        <v>526</v>
      </c>
      <c r="J45" s="35">
        <v>31.98</v>
      </c>
      <c r="K45" s="55" t="s">
        <v>442</v>
      </c>
      <c r="L45" s="36">
        <v>20</v>
      </c>
      <c r="M45" s="39">
        <f>IFERROR(J45/(_xlfn.XLOOKUP(K45,$S$33:$S$37,$R$33:$R$37))*L45,0)</f>
        <v>4.9968750000000002</v>
      </c>
      <c r="U45" s="257"/>
      <c r="V45" s="257"/>
      <c r="W45" s="257"/>
      <c r="X45" s="257"/>
      <c r="Y45" s="257"/>
    </row>
    <row r="46" spans="1:25" ht="16.5" customHeight="1" x14ac:dyDescent="0.3">
      <c r="A46" s="112" t="s">
        <v>478</v>
      </c>
      <c r="B46" s="108"/>
      <c r="C46" s="76" t="s">
        <v>475</v>
      </c>
      <c r="D46" s="163"/>
      <c r="E46" s="72">
        <v>5</v>
      </c>
      <c r="F46" s="32">
        <f t="shared" si="1"/>
        <v>5</v>
      </c>
      <c r="G46" s="29"/>
      <c r="I46" s="36" t="s">
        <v>366</v>
      </c>
      <c r="J46" s="35">
        <v>0</v>
      </c>
      <c r="K46" s="55" t="s">
        <v>444</v>
      </c>
      <c r="L46" s="36">
        <v>0</v>
      </c>
      <c r="M46" s="39">
        <f>IFERROR(J46/(_xlfn.XLOOKUP(K46,$S$33:$S$37,$R$33:$R$37))*L46,0)</f>
        <v>0</v>
      </c>
      <c r="U46" s="257"/>
      <c r="V46" s="257"/>
      <c r="W46" s="257"/>
      <c r="X46" s="257"/>
      <c r="Y46" s="257"/>
    </row>
    <row r="47" spans="1:25" ht="16.5" customHeight="1" x14ac:dyDescent="0.3">
      <c r="A47" s="112" t="s">
        <v>477</v>
      </c>
      <c r="B47" s="108"/>
      <c r="C47" s="76" t="s">
        <v>476</v>
      </c>
      <c r="D47" s="163"/>
      <c r="E47" s="72">
        <v>40</v>
      </c>
      <c r="F47" s="32">
        <f t="shared" si="1"/>
        <v>40</v>
      </c>
      <c r="G47" s="29"/>
    </row>
    <row r="48" spans="1:25" ht="16.5" customHeight="1" x14ac:dyDescent="0.3">
      <c r="A48" s="112" t="s">
        <v>366</v>
      </c>
      <c r="B48" s="108"/>
      <c r="C48" s="76" t="s">
        <v>401</v>
      </c>
      <c r="D48" s="163"/>
      <c r="E48" s="71">
        <v>0</v>
      </c>
      <c r="F48" s="32">
        <f t="shared" si="1"/>
        <v>0</v>
      </c>
      <c r="G48" s="29"/>
      <c r="I48" s="10" t="s">
        <v>32</v>
      </c>
      <c r="J48" s="35">
        <v>28.86</v>
      </c>
      <c r="K48" s="55" t="s">
        <v>441</v>
      </c>
      <c r="L48" s="36">
        <v>1.5</v>
      </c>
      <c r="M48" s="39">
        <f>IFERROR(J48/(_xlfn.XLOOKUP(K48,$S$33:$S$37,$R$33:$R$37))*L48,0)</f>
        <v>2.7056249999999999</v>
      </c>
    </row>
    <row r="49" spans="1:15" ht="16.5" customHeight="1" x14ac:dyDescent="0.3">
      <c r="A49" s="74" t="s">
        <v>482</v>
      </c>
      <c r="B49" s="108"/>
      <c r="C49" s="76"/>
      <c r="D49" s="163"/>
      <c r="E49" s="71">
        <v>0</v>
      </c>
      <c r="F49" s="32">
        <f t="shared" si="1"/>
        <v>0</v>
      </c>
      <c r="G49" s="29"/>
      <c r="I49" s="10" t="s">
        <v>67</v>
      </c>
      <c r="J49" s="35">
        <v>0</v>
      </c>
      <c r="K49" s="55" t="s">
        <v>444</v>
      </c>
      <c r="L49" s="36">
        <v>0</v>
      </c>
      <c r="M49" s="39">
        <f t="shared" ref="M49:M52" si="3">IFERROR(J49/(_xlfn.XLOOKUP(K49,$S$33:$S$37,$R$33:$R$37))*L49,0)</f>
        <v>0</v>
      </c>
    </row>
    <row r="50" spans="1:15" ht="16.5" customHeight="1" x14ac:dyDescent="0.3">
      <c r="A50" s="75" t="s">
        <v>482</v>
      </c>
      <c r="B50" s="108"/>
      <c r="C50" s="76"/>
      <c r="D50" s="163"/>
      <c r="E50" s="71">
        <v>0</v>
      </c>
      <c r="F50" s="32">
        <f t="shared" si="1"/>
        <v>0</v>
      </c>
      <c r="G50" s="29"/>
      <c r="I50" s="10" t="s">
        <v>70</v>
      </c>
      <c r="J50" s="35">
        <v>0</v>
      </c>
      <c r="K50" s="55" t="s">
        <v>444</v>
      </c>
      <c r="L50" s="36">
        <v>0</v>
      </c>
      <c r="M50" s="39">
        <f t="shared" si="3"/>
        <v>0</v>
      </c>
    </row>
    <row r="51" spans="1:15" ht="16.5" customHeight="1" x14ac:dyDescent="0.3">
      <c r="A51" s="181" t="s">
        <v>375</v>
      </c>
      <c r="B51" s="182"/>
      <c r="C51" s="19"/>
      <c r="D51" s="26"/>
      <c r="E51" s="64">
        <f>SUM(E44:E50)</f>
        <v>197</v>
      </c>
      <c r="F51" s="32">
        <f>E50</f>
        <v>0</v>
      </c>
      <c r="G51" s="29"/>
      <c r="I51" s="10" t="s">
        <v>71</v>
      </c>
      <c r="J51" s="35">
        <v>0</v>
      </c>
      <c r="K51" s="55" t="s">
        <v>444</v>
      </c>
      <c r="L51" s="36">
        <v>0</v>
      </c>
      <c r="M51" s="39">
        <f t="shared" si="3"/>
        <v>0</v>
      </c>
    </row>
    <row r="52" spans="1:15" ht="16.5" customHeight="1" thickBot="1" x14ac:dyDescent="0.35">
      <c r="A52" s="183" t="s">
        <v>376</v>
      </c>
      <c r="B52" s="167"/>
      <c r="C52" s="20"/>
      <c r="D52" s="22"/>
      <c r="E52" s="25">
        <f>E40+E51</f>
        <v>551.55475000000001</v>
      </c>
      <c r="F52" s="168"/>
      <c r="G52" s="17"/>
      <c r="I52" s="10" t="s">
        <v>69</v>
      </c>
      <c r="J52" s="35">
        <v>0</v>
      </c>
      <c r="K52" s="55" t="s">
        <v>444</v>
      </c>
      <c r="L52" s="36">
        <v>0</v>
      </c>
      <c r="M52" s="39">
        <f t="shared" si="3"/>
        <v>0</v>
      </c>
    </row>
    <row r="53" spans="1:15" ht="16.5" customHeight="1" thickTop="1" x14ac:dyDescent="0.3">
      <c r="A53" s="184" t="s">
        <v>388</v>
      </c>
      <c r="B53" s="170"/>
      <c r="C53" s="185"/>
      <c r="D53" s="131"/>
      <c r="E53" s="186">
        <f>E15-E52</f>
        <v>-1.0547500000000127</v>
      </c>
      <c r="F53" s="174"/>
      <c r="G53" s="17"/>
      <c r="I53" s="10" t="s">
        <v>524</v>
      </c>
      <c r="J53" s="35">
        <v>0</v>
      </c>
      <c r="K53" s="55" t="s">
        <v>444</v>
      </c>
      <c r="L53" s="36">
        <v>0</v>
      </c>
      <c r="M53" s="39">
        <f>IFERROR(J53/(_xlfn.XLOOKUP(K53,$S$33:$S$37,$R$33:$R$37))*L53,0)</f>
        <v>0</v>
      </c>
      <c r="N53" s="164"/>
    </row>
    <row r="54" spans="1:15" ht="16.5" customHeight="1" x14ac:dyDescent="0.3">
      <c r="A54" s="187"/>
      <c r="B54" s="141"/>
      <c r="C54" s="188"/>
      <c r="D54" s="188"/>
      <c r="E54" s="189"/>
      <c r="F54" s="190"/>
      <c r="G54" s="191"/>
      <c r="I54" s="67" t="s">
        <v>525</v>
      </c>
      <c r="J54" s="35">
        <v>0</v>
      </c>
      <c r="K54" s="55" t="s">
        <v>444</v>
      </c>
      <c r="L54" s="36">
        <v>0</v>
      </c>
      <c r="M54" s="39">
        <f t="shared" ref="M54" si="4">IFERROR(J54/(_xlfn.XLOOKUP(K54,$S$33:$S$37,$R$33:$R$37))*L54,0)</f>
        <v>0</v>
      </c>
    </row>
    <row r="55" spans="1:15" ht="16.5" customHeight="1" x14ac:dyDescent="0.3">
      <c r="A55" s="192" t="s">
        <v>363</v>
      </c>
      <c r="B55" s="193"/>
      <c r="C55" s="193"/>
      <c r="D55" s="193"/>
      <c r="E55" s="193"/>
      <c r="F55" s="194"/>
      <c r="G55" s="195"/>
    </row>
    <row r="56" spans="1:15" ht="16.5" customHeight="1" x14ac:dyDescent="0.3">
      <c r="A56" s="196"/>
      <c r="B56" s="197"/>
      <c r="C56" s="198"/>
      <c r="D56" s="198"/>
      <c r="E56" s="198"/>
      <c r="F56" s="199"/>
      <c r="G56" s="200"/>
      <c r="I56" s="263" t="s">
        <v>523</v>
      </c>
      <c r="J56" s="263"/>
      <c r="K56" s="263"/>
      <c r="L56" s="263"/>
      <c r="M56" s="263"/>
    </row>
    <row r="57" spans="1:15" ht="16.5" customHeight="1" x14ac:dyDescent="0.3">
      <c r="A57" s="179" t="s">
        <v>389</v>
      </c>
      <c r="B57" s="201"/>
      <c r="C57" s="198"/>
      <c r="D57" s="198"/>
      <c r="E57" s="198"/>
      <c r="F57" s="202"/>
      <c r="G57" s="17"/>
      <c r="I57" s="135" t="s">
        <v>427</v>
      </c>
      <c r="J57" s="135" t="s">
        <v>439</v>
      </c>
      <c r="K57" s="165" t="s">
        <v>437</v>
      </c>
      <c r="L57" s="135" t="s">
        <v>435</v>
      </c>
      <c r="M57" s="95" t="s">
        <v>407</v>
      </c>
    </row>
    <row r="58" spans="1:15" ht="16.5" customHeight="1" x14ac:dyDescent="0.3">
      <c r="A58" s="203" t="s">
        <v>394</v>
      </c>
      <c r="B58" s="204"/>
      <c r="C58" s="205"/>
      <c r="D58" s="205"/>
      <c r="E58" s="141">
        <f>E52/E9</f>
        <v>11.031095000000001</v>
      </c>
      <c r="F58" s="206" t="s">
        <v>395</v>
      </c>
      <c r="G58" s="17"/>
      <c r="I58" s="103" t="s">
        <v>60</v>
      </c>
      <c r="J58" s="103" t="s">
        <v>60</v>
      </c>
      <c r="K58" s="103" t="s">
        <v>60</v>
      </c>
      <c r="L58" s="103" t="s">
        <v>60</v>
      </c>
      <c r="M58" s="95"/>
    </row>
    <row r="59" spans="1:15" ht="16.5" customHeight="1" thickBot="1" x14ac:dyDescent="0.35">
      <c r="A59" s="207" t="s">
        <v>362</v>
      </c>
      <c r="B59" s="208"/>
      <c r="C59" s="209"/>
      <c r="D59" s="209"/>
      <c r="E59" s="210">
        <f>E52/E8</f>
        <v>50.095799273387833</v>
      </c>
      <c r="F59" s="211" t="s">
        <v>446</v>
      </c>
      <c r="G59" s="17"/>
      <c r="I59" s="36" t="s">
        <v>521</v>
      </c>
      <c r="J59" s="35">
        <v>65.98</v>
      </c>
      <c r="K59" s="55" t="s">
        <v>442</v>
      </c>
      <c r="L59" s="36">
        <v>8</v>
      </c>
      <c r="M59" s="39">
        <f>IFERROR(J59/(_xlfn.XLOOKUP(K59,$S$33:$S$37,$R$33:$R$37))*L59,0)</f>
        <v>4.1237500000000002</v>
      </c>
    </row>
    <row r="60" spans="1:15" ht="16.5" customHeight="1" x14ac:dyDescent="0.3">
      <c r="A60" s="91"/>
      <c r="B60" s="91"/>
      <c r="C60" s="91"/>
      <c r="D60" s="91"/>
      <c r="E60" s="91"/>
      <c r="F60" s="91"/>
      <c r="G60" s="17"/>
      <c r="I60" s="36" t="s">
        <v>366</v>
      </c>
      <c r="J60" s="35">
        <v>0</v>
      </c>
      <c r="K60" s="55" t="s">
        <v>444</v>
      </c>
      <c r="L60" s="36">
        <v>0</v>
      </c>
      <c r="M60" s="39">
        <f t="shared" ref="M60:M61" si="5">IFERROR(J60/(_xlfn.XLOOKUP(K60,$S$33:$S$37,$R$33:$R$37))*L60,0)</f>
        <v>0</v>
      </c>
    </row>
    <row r="61" spans="1:15" ht="16.5" customHeight="1" x14ac:dyDescent="0.3">
      <c r="A61" s="154" t="s">
        <v>449</v>
      </c>
      <c r="G61" s="17"/>
      <c r="I61" s="36" t="s">
        <v>366</v>
      </c>
      <c r="J61" s="35">
        <v>0</v>
      </c>
      <c r="K61" s="55" t="s">
        <v>444</v>
      </c>
      <c r="L61" s="36">
        <v>0</v>
      </c>
      <c r="M61" s="39">
        <f t="shared" si="5"/>
        <v>0</v>
      </c>
    </row>
    <row r="62" spans="1:15" ht="16.5" customHeight="1" x14ac:dyDescent="0.3">
      <c r="A62" s="154" t="s">
        <v>450</v>
      </c>
      <c r="G62" s="17"/>
    </row>
    <row r="63" spans="1:15" ht="16.5" customHeight="1" x14ac:dyDescent="0.3">
      <c r="A63" s="212"/>
      <c r="B63" s="154"/>
      <c r="C63" s="154"/>
      <c r="D63" s="154"/>
      <c r="E63" s="154"/>
      <c r="F63" s="154"/>
      <c r="G63" s="21"/>
      <c r="I63" s="10" t="s">
        <v>32</v>
      </c>
      <c r="J63" s="35">
        <v>0</v>
      </c>
      <c r="K63" s="55" t="s">
        <v>444</v>
      </c>
      <c r="L63" s="36">
        <v>0</v>
      </c>
      <c r="M63" s="39">
        <f>IFERROR(J63/(_xlfn.XLOOKUP(K63,$S$33:$S$37,$R$33:$R$37))*L63,0)</f>
        <v>0</v>
      </c>
    </row>
    <row r="64" spans="1:15" ht="16.5" customHeight="1" x14ac:dyDescent="0.3">
      <c r="A64" s="212"/>
      <c r="B64" s="154"/>
      <c r="C64" s="154"/>
      <c r="D64" s="154"/>
      <c r="E64" s="154"/>
      <c r="F64" s="154"/>
      <c r="G64" s="21"/>
      <c r="I64" s="10" t="s">
        <v>67</v>
      </c>
      <c r="J64" s="35">
        <v>0</v>
      </c>
      <c r="K64" s="55" t="s">
        <v>444</v>
      </c>
      <c r="L64" s="36">
        <v>0</v>
      </c>
      <c r="M64" s="39">
        <f t="shared" ref="M64:M67" si="6">IFERROR(J64/(_xlfn.XLOOKUP(K64,$S$33:$S$37,$R$33:$R$37))*L64,0)</f>
        <v>0</v>
      </c>
      <c r="O64" s="2"/>
    </row>
    <row r="65" spans="1:15" ht="16.5" customHeight="1" x14ac:dyDescent="0.3">
      <c r="G65" s="21"/>
      <c r="I65" s="10" t="s">
        <v>70</v>
      </c>
      <c r="J65" s="35">
        <v>0</v>
      </c>
      <c r="K65" s="55" t="s">
        <v>444</v>
      </c>
      <c r="L65" s="36">
        <v>0</v>
      </c>
      <c r="M65" s="39">
        <f t="shared" si="6"/>
        <v>0</v>
      </c>
      <c r="O65" s="2"/>
    </row>
    <row r="66" spans="1:15" ht="16.5" customHeight="1" x14ac:dyDescent="0.3">
      <c r="A66" s="214"/>
      <c r="B66" s="149"/>
      <c r="C66" s="149"/>
      <c r="D66" s="149"/>
      <c r="E66" s="149"/>
      <c r="G66" s="21"/>
      <c r="I66" s="10" t="s">
        <v>71</v>
      </c>
      <c r="J66" s="35">
        <v>0</v>
      </c>
      <c r="K66" s="55" t="s">
        <v>444</v>
      </c>
      <c r="L66" s="36">
        <v>0</v>
      </c>
      <c r="M66" s="39">
        <f t="shared" si="6"/>
        <v>0</v>
      </c>
      <c r="O66" s="2"/>
    </row>
    <row r="67" spans="1:15" ht="16.5" customHeight="1" x14ac:dyDescent="0.3">
      <c r="F67" s="149"/>
      <c r="G67" s="21"/>
      <c r="I67" s="10" t="s">
        <v>69</v>
      </c>
      <c r="J67" s="35">
        <v>0</v>
      </c>
      <c r="K67" s="55" t="s">
        <v>444</v>
      </c>
      <c r="L67" s="36">
        <v>0</v>
      </c>
      <c r="M67" s="39">
        <f t="shared" si="6"/>
        <v>0</v>
      </c>
      <c r="O67" s="2"/>
    </row>
    <row r="68" spans="1:15" ht="16.5" customHeight="1" x14ac:dyDescent="0.3">
      <c r="G68" s="21"/>
      <c r="I68" s="10" t="s">
        <v>524</v>
      </c>
      <c r="J68" s="35">
        <v>0</v>
      </c>
      <c r="K68" s="55" t="s">
        <v>444</v>
      </c>
      <c r="L68" s="36">
        <v>0</v>
      </c>
      <c r="M68" s="39">
        <f>IFERROR(J68/(_xlfn.XLOOKUP(K68,$S$33:$S$37,$R$33:$R$37))*L68,0)</f>
        <v>0</v>
      </c>
      <c r="O68" s="2"/>
    </row>
    <row r="69" spans="1:15" ht="16.5" customHeight="1" x14ac:dyDescent="0.3">
      <c r="G69" s="21"/>
      <c r="I69" s="67" t="s">
        <v>525</v>
      </c>
      <c r="J69" s="35">
        <v>0</v>
      </c>
      <c r="K69" s="55" t="s">
        <v>444</v>
      </c>
      <c r="L69" s="36">
        <v>0</v>
      </c>
      <c r="M69" s="39">
        <f t="shared" ref="M69" si="7">IFERROR(J69/(_xlfn.XLOOKUP(K69,$S$33:$S$37,$R$33:$R$37))*L69,0)</f>
        <v>0</v>
      </c>
      <c r="O69" s="2"/>
    </row>
    <row r="70" spans="1:15" ht="16.5" customHeight="1" x14ac:dyDescent="0.3">
      <c r="G70" s="21"/>
      <c r="O70" s="2"/>
    </row>
    <row r="71" spans="1:15" ht="16.5" customHeight="1" x14ac:dyDescent="0.3">
      <c r="G71" s="21"/>
      <c r="I71" s="135" t="s">
        <v>593</v>
      </c>
      <c r="J71" s="135" t="s">
        <v>594</v>
      </c>
      <c r="K71" s="165"/>
      <c r="L71" s="135" t="s">
        <v>595</v>
      </c>
      <c r="M71" s="95" t="s">
        <v>407</v>
      </c>
    </row>
    <row r="72" spans="1:15" ht="16.5" customHeight="1" x14ac:dyDescent="0.3">
      <c r="G72" s="21"/>
      <c r="I72" s="120" t="s">
        <v>597</v>
      </c>
      <c r="J72" s="35">
        <v>6.65</v>
      </c>
      <c r="K72" s="37"/>
      <c r="L72" s="36">
        <v>1</v>
      </c>
      <c r="M72" s="39">
        <f>J72*L72</f>
        <v>6.65</v>
      </c>
    </row>
    <row r="73" spans="1:15" ht="16.5" customHeight="1" x14ac:dyDescent="0.3">
      <c r="G73" s="21"/>
      <c r="I73" s="120" t="s">
        <v>168</v>
      </c>
      <c r="J73" s="35">
        <v>10</v>
      </c>
      <c r="K73" s="37"/>
      <c r="L73" s="36">
        <v>0</v>
      </c>
      <c r="M73" s="39">
        <f>J73*L73</f>
        <v>0</v>
      </c>
    </row>
    <row r="74" spans="1:15" ht="16.5" customHeight="1" x14ac:dyDescent="0.3">
      <c r="G74" s="21"/>
    </row>
    <row r="75" spans="1:15" ht="16.5" customHeight="1" x14ac:dyDescent="0.3">
      <c r="G75" s="21"/>
      <c r="L75" s="155" t="s">
        <v>434</v>
      </c>
      <c r="M75" s="156">
        <f>SUM(M42:M73)</f>
        <v>38.748750000000001</v>
      </c>
    </row>
    <row r="76" spans="1:15" ht="16.5" customHeight="1" x14ac:dyDescent="0.3">
      <c r="G76" s="21"/>
      <c r="N76" s="44"/>
    </row>
    <row r="77" spans="1:15" ht="16.5" customHeight="1" x14ac:dyDescent="0.3">
      <c r="G77" s="21"/>
      <c r="N77" s="37"/>
    </row>
    <row r="78" spans="1:15" ht="16.5" customHeight="1" x14ac:dyDescent="0.3">
      <c r="G78" s="21"/>
    </row>
    <row r="79" spans="1:15" ht="16.5" customHeight="1" x14ac:dyDescent="0.3">
      <c r="G79" s="21"/>
    </row>
    <row r="80" spans="1:15" ht="16.5" customHeight="1" x14ac:dyDescent="0.3">
      <c r="G80" s="21"/>
    </row>
    <row r="81" spans="7:13" ht="16.5" customHeight="1" x14ac:dyDescent="0.3">
      <c r="G81" s="21"/>
      <c r="I81" s="44"/>
      <c r="J81" s="44"/>
      <c r="K81" s="44"/>
      <c r="L81" s="44"/>
      <c r="M81" s="44"/>
    </row>
    <row r="82" spans="7:13" ht="16.5" customHeight="1" x14ac:dyDescent="0.3">
      <c r="G82" s="21"/>
      <c r="I82" s="44"/>
      <c r="J82" s="44"/>
      <c r="K82" s="44"/>
      <c r="L82" s="44"/>
      <c r="M82" s="44"/>
    </row>
    <row r="83" spans="7:13" ht="16.5" customHeight="1" x14ac:dyDescent="0.3">
      <c r="G83" s="21"/>
    </row>
    <row r="84" spans="7:13" ht="16.5" customHeight="1" x14ac:dyDescent="0.3">
      <c r="G84" s="21"/>
    </row>
    <row r="85" spans="7:13" ht="16.5" customHeight="1" x14ac:dyDescent="0.3">
      <c r="G85" s="21"/>
    </row>
    <row r="86" spans="7:13" ht="16.5" customHeight="1" x14ac:dyDescent="0.3">
      <c r="G86" s="21"/>
    </row>
    <row r="87" spans="7:13" ht="16.5" customHeight="1" x14ac:dyDescent="0.3">
      <c r="G87" s="21"/>
    </row>
    <row r="88" spans="7:13" ht="16.5" customHeight="1" x14ac:dyDescent="0.3">
      <c r="G88" s="21"/>
    </row>
    <row r="89" spans="7:13" ht="16.5" customHeight="1" x14ac:dyDescent="0.3">
      <c r="G89" s="21"/>
    </row>
    <row r="90" spans="7:13" ht="16.5" customHeight="1" x14ac:dyDescent="0.3">
      <c r="G90" s="21"/>
    </row>
    <row r="91" spans="7:13" ht="16.5" customHeight="1" x14ac:dyDescent="0.3">
      <c r="G91" s="21"/>
    </row>
    <row r="92" spans="7:13" ht="16.5" customHeight="1" x14ac:dyDescent="0.3">
      <c r="G92" s="21"/>
    </row>
    <row r="93" spans="7:13" ht="16.5" customHeight="1" x14ac:dyDescent="0.3">
      <c r="G93" s="21"/>
    </row>
    <row r="94" spans="7:13" ht="16.5" customHeight="1" x14ac:dyDescent="0.3">
      <c r="G94" s="21"/>
    </row>
    <row r="95" spans="7:13" ht="16.5" customHeight="1" x14ac:dyDescent="0.3">
      <c r="G95" s="21"/>
    </row>
    <row r="96" spans="7:13"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5"/>
    </row>
    <row r="110" spans="7:7" ht="16.5" hidden="1" customHeight="1" x14ac:dyDescent="0.3">
      <c r="G110" s="215"/>
    </row>
    <row r="111" spans="7:7" ht="8.1" hidden="1" customHeight="1" x14ac:dyDescent="0.3">
      <c r="G111" s="215"/>
    </row>
    <row r="112" spans="7:7" ht="16.5" hidden="1" customHeight="1" x14ac:dyDescent="0.3">
      <c r="G112" s="215"/>
    </row>
    <row r="113" spans="1:7" ht="16.5" hidden="1" customHeight="1" x14ac:dyDescent="0.3">
      <c r="G113" s="215"/>
    </row>
    <row r="114" spans="1:7" ht="16.5" hidden="1" customHeight="1" x14ac:dyDescent="0.3">
      <c r="G114" s="215"/>
    </row>
    <row r="115" spans="1:7" ht="6.75" hidden="1" customHeight="1" x14ac:dyDescent="0.3">
      <c r="G115" s="216"/>
    </row>
    <row r="116" spans="1:7" ht="16.5" hidden="1" customHeight="1" x14ac:dyDescent="0.3">
      <c r="G116" s="216"/>
    </row>
    <row r="117" spans="1:7" ht="16.5" hidden="1" customHeight="1" x14ac:dyDescent="0.3">
      <c r="G117" s="216"/>
    </row>
    <row r="118" spans="1:7" ht="16.5" hidden="1" customHeight="1" x14ac:dyDescent="0.35">
      <c r="A118" s="217"/>
      <c r="B118" s="218"/>
      <c r="C118" s="218"/>
      <c r="D118" s="218"/>
      <c r="E118" s="218"/>
      <c r="G118" s="216"/>
    </row>
    <row r="119" spans="1:7" ht="16.5" hidden="1" customHeight="1" x14ac:dyDescent="0.35">
      <c r="F119" s="218"/>
      <c r="G119" s="204"/>
    </row>
    <row r="120" spans="1:7" ht="16.5" hidden="1" customHeight="1" x14ac:dyDescent="0.3">
      <c r="G120" s="219"/>
    </row>
    <row r="121" spans="1:7" ht="16.5" hidden="1" customHeight="1" x14ac:dyDescent="0.3">
      <c r="G121" s="204"/>
    </row>
    <row r="122" spans="1:7" ht="16.5" hidden="1" customHeight="1" x14ac:dyDescent="0.3">
      <c r="G122" s="220"/>
    </row>
    <row r="123" spans="1:7" ht="16.5" hidden="1" customHeight="1" x14ac:dyDescent="0.3">
      <c r="G123" s="221"/>
    </row>
    <row r="124" spans="1:7" ht="16.5" hidden="1" customHeight="1" x14ac:dyDescent="0.3">
      <c r="G124" s="222"/>
    </row>
    <row r="125" spans="1:7" ht="16.5" hidden="1" customHeight="1" x14ac:dyDescent="0.3">
      <c r="G125" s="221"/>
    </row>
    <row r="126" spans="1:7" ht="16.5" hidden="1" customHeight="1" x14ac:dyDescent="0.3">
      <c r="G126" s="222"/>
    </row>
    <row r="127" spans="1:7" ht="16.5" hidden="1" customHeight="1" x14ac:dyDescent="0.3">
      <c r="G127" s="223"/>
    </row>
    <row r="128" spans="1:7" ht="16.5" hidden="1" customHeight="1" x14ac:dyDescent="0.3">
      <c r="G128" s="216"/>
    </row>
    <row r="129" spans="7:7" ht="18.75" hidden="1" customHeight="1" x14ac:dyDescent="0.3">
      <c r="G129" s="68"/>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9"/>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sheetData>
  <sheetProtection sheet="1" objects="1" scenarios="1"/>
  <mergeCells count="16">
    <mergeCell ref="U37:Y42"/>
    <mergeCell ref="I40:M40"/>
    <mergeCell ref="I56:M56"/>
    <mergeCell ref="U15:Y15"/>
    <mergeCell ref="U26:Y27"/>
    <mergeCell ref="I38:M38"/>
    <mergeCell ref="I35:I36"/>
    <mergeCell ref="U44:Y46"/>
    <mergeCell ref="A1:F3"/>
    <mergeCell ref="A14:A15"/>
    <mergeCell ref="B14:B15"/>
    <mergeCell ref="E5:F5"/>
    <mergeCell ref="U10:Y13"/>
    <mergeCell ref="I4:M4"/>
    <mergeCell ref="I10:M10"/>
    <mergeCell ref="T2:Y2"/>
  </mergeCells>
  <phoneticPr fontId="34" type="noConversion"/>
  <conditionalFormatting sqref="F19:F39">
    <cfRule type="dataBar" priority="613">
      <dataBar showValue="0">
        <cfvo type="min"/>
        <cfvo type="max"/>
        <color rgb="FF63C384"/>
      </dataBar>
      <extLst>
        <ext xmlns:x14="http://schemas.microsoft.com/office/spreadsheetml/2009/9/main" uri="{B025F937-C7B1-47D3-B67F-A62EFF666E3E}">
          <x14:id>{FE3F7056-E9FE-46DF-8C93-9FFBF34CDFA6}</x14:id>
        </ext>
      </extLst>
    </cfRule>
  </conditionalFormatting>
  <conditionalFormatting sqref="F44:F51">
    <cfRule type="dataBar" priority="609">
      <dataBar showValue="0">
        <cfvo type="min"/>
        <cfvo type="max"/>
        <color rgb="FF63C384"/>
      </dataBar>
      <extLst>
        <ext xmlns:x14="http://schemas.microsoft.com/office/spreadsheetml/2009/9/main" uri="{B025F937-C7B1-47D3-B67F-A62EFF666E3E}">
          <x14:id>{40F910F6-5BC3-4E41-81E0-08BA9D288CFA}</x14:id>
        </ext>
      </extLst>
    </cfRule>
  </conditionalFormatting>
  <dataValidations count="1">
    <dataValidation type="list" allowBlank="1" showInputMessage="1" showErrorMessage="1" sqref="K59:K61 K48:K54 K63:K69 K43:K46" xr:uid="{574835A6-B193-41BD-8BE3-2203AD518FD0}">
      <formula1>$S$33:$S$37</formula1>
    </dataValidation>
  </dataValidations>
  <hyperlinks>
    <hyperlink ref="U8" r:id="rId1" xr:uid="{B2930C22-2D3C-4F53-97AA-3CB9A825A6FD}"/>
    <hyperlink ref="U5" r:id="rId2" xr:uid="{E0413AA8-5B19-454A-90C2-9D2A5B1CF9AB}"/>
  </hyperlinks>
  <printOptions horizontalCentered="1" verticalCentered="1"/>
  <pageMargins left="0.25" right="0.25" top="0.25" bottom="0.25" header="0.25" footer="0.25"/>
  <pageSetup scale="71" orientation="portrait" r:id="rId3"/>
  <drawing r:id="rId4"/>
  <extLst>
    <ext xmlns:x14="http://schemas.microsoft.com/office/spreadsheetml/2009/9/main" uri="{78C0D931-6437-407d-A8EE-F0AAD7539E65}">
      <x14:conditionalFormattings>
        <x14:conditionalFormatting xmlns:xm="http://schemas.microsoft.com/office/excel/2006/main">
          <x14:cfRule type="dataBar" id="{FE3F7056-E9FE-46DF-8C93-9FFBF34CDFA6}">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40F910F6-5BC3-4E41-81E0-08BA9D288CFA}">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DC76493-0E59-4032-861C-1A523386E163}">
          <x14:formula1>
            <xm:f>Manure!$C$7:$C$11</xm:f>
          </x14:formula1>
          <xm:sqref>Y18 Y23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0DD00-1465-4960-B853-10D0EFA622B5}">
  <sheetPr>
    <tabColor rgb="FFFFC000"/>
    <pageSetUpPr fitToPage="1"/>
  </sheetPr>
  <dimension ref="A1:Y191"/>
  <sheetViews>
    <sheetView zoomScale="80" zoomScaleNormal="80" workbookViewId="0">
      <selection activeCell="E8" sqref="E8"/>
    </sheetView>
  </sheetViews>
  <sheetFormatPr defaultColWidth="9.140625" defaultRowHeight="18.75" x14ac:dyDescent="0.3"/>
  <cols>
    <col min="1" max="1" width="50" style="213" customWidth="1"/>
    <col min="2" max="2" width="2.42578125" style="10" customWidth="1"/>
    <col min="3" max="3" width="14.7109375" style="10" bestFit="1" customWidth="1"/>
    <col min="4" max="4" width="2.85546875" style="10" customWidth="1"/>
    <col min="5" max="5" width="14.7109375" style="10" bestFit="1"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2.7109375" style="10" bestFit="1" customWidth="1"/>
    <col min="22" max="24" width="9.28515625" style="10" bestFit="1" customWidth="1"/>
    <col min="25" max="25" width="29.28515625" style="10" bestFit="1" customWidth="1"/>
    <col min="26" max="16384" width="9.140625" style="10"/>
  </cols>
  <sheetData>
    <row r="1" spans="1:25" ht="21.75" customHeight="1" x14ac:dyDescent="0.3">
      <c r="A1" s="242" t="s">
        <v>447</v>
      </c>
      <c r="B1" s="243"/>
      <c r="C1" s="243"/>
      <c r="D1" s="243"/>
      <c r="E1" s="243"/>
      <c r="F1" s="244"/>
      <c r="G1" s="88"/>
    </row>
    <row r="2" spans="1:25" ht="15.75" customHeight="1" x14ac:dyDescent="0.3">
      <c r="A2" s="245"/>
      <c r="B2" s="246"/>
      <c r="C2" s="246"/>
      <c r="D2" s="246"/>
      <c r="E2" s="246"/>
      <c r="F2" s="247"/>
      <c r="G2" s="88"/>
      <c r="T2" s="259" t="s">
        <v>585</v>
      </c>
      <c r="U2" s="260"/>
      <c r="V2" s="260"/>
      <c r="W2" s="260"/>
      <c r="X2" s="260"/>
      <c r="Y2" s="261"/>
    </row>
    <row r="3" spans="1:25" ht="15.75" customHeight="1" thickBot="1" x14ac:dyDescent="0.35">
      <c r="A3" s="248"/>
      <c r="B3" s="249"/>
      <c r="C3" s="249"/>
      <c r="D3" s="249"/>
      <c r="E3" s="249"/>
      <c r="F3" s="250"/>
      <c r="G3" s="88"/>
    </row>
    <row r="4" spans="1:25" ht="19.5" thickBot="1" x14ac:dyDescent="0.35">
      <c r="A4" s="89"/>
      <c r="B4" s="90"/>
      <c r="C4" s="91"/>
      <c r="D4" s="91"/>
      <c r="E4" s="91"/>
      <c r="F4" s="92"/>
      <c r="G4" s="88"/>
      <c r="I4" s="259" t="s">
        <v>421</v>
      </c>
      <c r="J4" s="260"/>
      <c r="K4" s="260"/>
      <c r="L4" s="260"/>
      <c r="M4" s="261"/>
      <c r="U4" s="10" t="s">
        <v>504</v>
      </c>
    </row>
    <row r="5" spans="1:25" ht="21.75" thickBot="1" x14ac:dyDescent="0.35">
      <c r="A5" s="93"/>
      <c r="B5" s="94"/>
      <c r="C5" s="94"/>
      <c r="D5" s="94"/>
      <c r="E5" s="255" t="s">
        <v>491</v>
      </c>
      <c r="F5" s="256"/>
      <c r="G5" s="88"/>
      <c r="I5" s="95" t="s">
        <v>493</v>
      </c>
      <c r="J5" s="96" t="s">
        <v>405</v>
      </c>
      <c r="K5" s="96" t="s">
        <v>406</v>
      </c>
      <c r="L5" s="95"/>
      <c r="M5" s="95" t="s">
        <v>407</v>
      </c>
      <c r="U5" s="97" t="s">
        <v>507</v>
      </c>
    </row>
    <row r="6" spans="1:25" ht="19.5" customHeight="1" x14ac:dyDescent="0.3">
      <c r="A6" s="98" t="s">
        <v>59</v>
      </c>
      <c r="B6" s="99"/>
      <c r="D6" s="100"/>
      <c r="E6" s="101"/>
      <c r="F6" s="102"/>
      <c r="G6" s="88"/>
      <c r="I6" s="103" t="s">
        <v>60</v>
      </c>
      <c r="J6" s="103" t="s">
        <v>60</v>
      </c>
      <c r="K6" s="103" t="s">
        <v>60</v>
      </c>
      <c r="L6" s="103"/>
      <c r="M6" s="2"/>
    </row>
    <row r="7" spans="1:25" ht="16.5" customHeight="1" x14ac:dyDescent="0.3">
      <c r="A7" s="104" t="s">
        <v>290</v>
      </c>
      <c r="B7" s="105"/>
      <c r="D7" s="100"/>
      <c r="E7" s="106"/>
      <c r="F7" s="102"/>
      <c r="G7" s="88"/>
      <c r="I7" s="35">
        <v>62.86</v>
      </c>
      <c r="J7" s="36">
        <v>140000</v>
      </c>
      <c r="K7" s="36">
        <v>130000</v>
      </c>
      <c r="L7" s="103"/>
      <c r="M7" s="45">
        <f>I7/J7*K7</f>
        <v>58.370000000000005</v>
      </c>
      <c r="U7" s="10" t="s">
        <v>505</v>
      </c>
    </row>
    <row r="8" spans="1:25" ht="16.5" customHeight="1" x14ac:dyDescent="0.3">
      <c r="A8" s="107" t="s">
        <v>519</v>
      </c>
      <c r="B8" s="108"/>
      <c r="C8" s="109"/>
      <c r="D8" s="110"/>
      <c r="E8" s="69">
        <v>11.01</v>
      </c>
      <c r="F8" s="30"/>
      <c r="G8" s="111"/>
      <c r="U8" s="97" t="s">
        <v>506</v>
      </c>
    </row>
    <row r="9" spans="1:25" ht="16.5" customHeight="1" x14ac:dyDescent="0.3">
      <c r="A9" s="112" t="s">
        <v>520</v>
      </c>
      <c r="B9" s="108"/>
      <c r="C9" s="113"/>
      <c r="D9" s="114"/>
      <c r="E9" s="70">
        <v>50</v>
      </c>
      <c r="F9" s="102" t="s">
        <v>391</v>
      </c>
      <c r="G9" s="115"/>
    </row>
    <row r="10" spans="1:25" ht="16.5" customHeight="1" x14ac:dyDescent="0.3">
      <c r="A10" s="107" t="s">
        <v>54</v>
      </c>
      <c r="B10" s="108"/>
      <c r="C10" s="113"/>
      <c r="D10" s="114"/>
      <c r="E10" s="73">
        <v>1</v>
      </c>
      <c r="F10" s="102" t="s">
        <v>54</v>
      </c>
      <c r="G10" s="116"/>
      <c r="I10" s="259" t="s">
        <v>410</v>
      </c>
      <c r="J10" s="260"/>
      <c r="K10" s="260"/>
      <c r="L10" s="260"/>
      <c r="M10" s="261"/>
      <c r="U10" s="257" t="s">
        <v>527</v>
      </c>
      <c r="V10" s="258"/>
      <c r="W10" s="258"/>
      <c r="X10" s="258"/>
      <c r="Y10" s="258"/>
    </row>
    <row r="11" spans="1:25" ht="16.5" hidden="1" customHeight="1" x14ac:dyDescent="0.3">
      <c r="A11" s="107"/>
      <c r="B11" s="117"/>
      <c r="C11" s="113"/>
      <c r="D11" s="114"/>
      <c r="E11" s="118"/>
      <c r="F11" s="102"/>
      <c r="G11" s="116"/>
      <c r="U11" s="258"/>
      <c r="V11" s="258"/>
      <c r="W11" s="258"/>
      <c r="X11" s="258"/>
      <c r="Y11" s="258"/>
    </row>
    <row r="12" spans="1:25" ht="16.5" hidden="1" customHeight="1" x14ac:dyDescent="0.3">
      <c r="A12" s="119" t="s">
        <v>371</v>
      </c>
      <c r="B12" s="120"/>
      <c r="C12" s="121"/>
      <c r="D12" s="122"/>
      <c r="E12" s="123">
        <v>0</v>
      </c>
      <c r="F12" s="124"/>
      <c r="G12" s="125"/>
      <c r="U12" s="258"/>
      <c r="V12" s="258"/>
      <c r="W12" s="258"/>
      <c r="X12" s="258"/>
      <c r="Y12" s="258"/>
    </row>
    <row r="13" spans="1:25" ht="16.5" customHeight="1" x14ac:dyDescent="0.3">
      <c r="A13" s="107"/>
      <c r="B13" s="126"/>
      <c r="C13" s="127"/>
      <c r="D13" s="128"/>
      <c r="E13" s="129"/>
      <c r="F13" s="102"/>
      <c r="G13" s="116"/>
      <c r="U13" s="258"/>
      <c r="V13" s="258"/>
      <c r="W13" s="258"/>
      <c r="X13" s="258"/>
      <c r="Y13" s="258"/>
    </row>
    <row r="14" spans="1:25" ht="16.5" customHeight="1" x14ac:dyDescent="0.3">
      <c r="A14" s="251" t="s">
        <v>291</v>
      </c>
      <c r="B14" s="253"/>
      <c r="C14" s="127"/>
      <c r="D14" s="131"/>
      <c r="E14" s="132" t="s">
        <v>35</v>
      </c>
      <c r="F14" s="133"/>
      <c r="G14" s="134"/>
      <c r="I14" s="135" t="s">
        <v>427</v>
      </c>
      <c r="J14" s="135" t="s">
        <v>428</v>
      </c>
      <c r="K14" s="135" t="s">
        <v>437</v>
      </c>
      <c r="L14" s="135" t="s">
        <v>435</v>
      </c>
      <c r="M14" s="95" t="s">
        <v>407</v>
      </c>
    </row>
    <row r="15" spans="1:25" ht="16.5" customHeight="1" thickBot="1" x14ac:dyDescent="0.35">
      <c r="A15" s="252"/>
      <c r="B15" s="254"/>
      <c r="C15" s="34"/>
      <c r="D15" s="33"/>
      <c r="E15" s="24">
        <f>(E8*E9)+E12</f>
        <v>550.5</v>
      </c>
      <c r="F15" s="31"/>
      <c r="G15" s="29"/>
      <c r="I15" s="135"/>
      <c r="J15" s="103" t="s">
        <v>60</v>
      </c>
      <c r="K15" s="135"/>
      <c r="L15" s="103" t="s">
        <v>60</v>
      </c>
      <c r="M15" s="95"/>
      <c r="U15" s="264" t="s">
        <v>456</v>
      </c>
      <c r="V15" s="265"/>
      <c r="W15" s="265"/>
      <c r="X15" s="265"/>
      <c r="Y15" s="266"/>
    </row>
    <row r="16" spans="1:25" ht="16.5" customHeight="1" thickTop="1" x14ac:dyDescent="0.3">
      <c r="A16" s="107"/>
      <c r="B16" s="108"/>
      <c r="C16" s="136" t="s">
        <v>448</v>
      </c>
      <c r="D16" s="136"/>
      <c r="E16" s="137"/>
      <c r="F16" s="138"/>
      <c r="G16" s="115"/>
      <c r="I16" s="139">
        <v>0.28000000000000003</v>
      </c>
      <c r="J16" s="35">
        <v>489</v>
      </c>
      <c r="K16" s="37" t="s">
        <v>3</v>
      </c>
      <c r="L16" s="36">
        <v>0</v>
      </c>
      <c r="M16" s="39">
        <f>'Fertilizer Calculations (Build)'!J5</f>
        <v>0</v>
      </c>
      <c r="U16" s="10" t="s">
        <v>457</v>
      </c>
      <c r="Y16" s="54" t="s">
        <v>458</v>
      </c>
    </row>
    <row r="17" spans="1:25" ht="16.5" customHeight="1" x14ac:dyDescent="0.3">
      <c r="A17" s="140" t="s">
        <v>252</v>
      </c>
      <c r="B17" s="141"/>
      <c r="C17" s="142" t="s">
        <v>392</v>
      </c>
      <c r="D17" s="136"/>
      <c r="E17" s="143"/>
      <c r="F17" s="144"/>
      <c r="G17" s="115"/>
      <c r="I17" s="139" t="s">
        <v>454</v>
      </c>
      <c r="J17" s="35">
        <v>550</v>
      </c>
      <c r="K17" s="37" t="s">
        <v>3</v>
      </c>
      <c r="L17" s="36">
        <v>0</v>
      </c>
      <c r="M17" s="39">
        <f>'Fertilizer Calculations (Build)'!J6</f>
        <v>0</v>
      </c>
      <c r="T17" s="54"/>
      <c r="U17" s="37" t="s">
        <v>51</v>
      </c>
      <c r="V17" s="37" t="s">
        <v>52</v>
      </c>
      <c r="W17" s="37" t="s">
        <v>445</v>
      </c>
      <c r="X17" s="37" t="s">
        <v>53</v>
      </c>
      <c r="Y17" s="103" t="s">
        <v>484</v>
      </c>
    </row>
    <row r="18" spans="1:25" ht="16.5" customHeight="1" x14ac:dyDescent="0.3">
      <c r="A18" s="145" t="s">
        <v>372</v>
      </c>
      <c r="B18" s="141"/>
      <c r="C18" s="142" t="s">
        <v>393</v>
      </c>
      <c r="D18" s="136"/>
      <c r="E18" s="146" t="s">
        <v>35</v>
      </c>
      <c r="F18" s="147"/>
      <c r="G18" s="115"/>
      <c r="I18" s="37" t="s">
        <v>429</v>
      </c>
      <c r="J18" s="35">
        <v>823</v>
      </c>
      <c r="K18" s="37" t="s">
        <v>438</v>
      </c>
      <c r="L18" s="36">
        <v>0</v>
      </c>
      <c r="M18" s="39">
        <f>'Fertilizer Calculations (Build)'!J4</f>
        <v>0</v>
      </c>
      <c r="T18" s="103" t="s">
        <v>485</v>
      </c>
      <c r="U18" s="60">
        <v>0</v>
      </c>
      <c r="V18" s="60">
        <v>0</v>
      </c>
      <c r="W18" s="60">
        <v>0</v>
      </c>
      <c r="X18" s="60">
        <v>0</v>
      </c>
      <c r="Y18" s="61" t="s">
        <v>467</v>
      </c>
    </row>
    <row r="19" spans="1:25" ht="16.5" customHeight="1" x14ac:dyDescent="0.3">
      <c r="A19" s="130" t="s">
        <v>36</v>
      </c>
      <c r="B19" s="108"/>
      <c r="C19" s="76" t="s">
        <v>508</v>
      </c>
      <c r="D19" s="26"/>
      <c r="E19" s="148">
        <f>M7</f>
        <v>58.370000000000005</v>
      </c>
      <c r="F19" s="32">
        <f t="shared" ref="F19:F39" si="0">E19</f>
        <v>58.370000000000005</v>
      </c>
      <c r="G19" s="134"/>
      <c r="I19" s="37" t="s">
        <v>408</v>
      </c>
      <c r="J19" s="35">
        <v>841</v>
      </c>
      <c r="K19" s="37" t="s">
        <v>438</v>
      </c>
      <c r="L19" s="36">
        <v>0</v>
      </c>
      <c r="M19" s="39">
        <f>'Fertilizer Calculations (Build)'!J8+'Fertilizer Calculations (Build)'!J14</f>
        <v>0</v>
      </c>
      <c r="T19" s="149" t="s">
        <v>489</v>
      </c>
      <c r="U19" s="150">
        <f>Manure!G8</f>
        <v>0</v>
      </c>
      <c r="V19" s="150">
        <f>Manure!H8</f>
        <v>0</v>
      </c>
      <c r="W19" s="150">
        <f>Manure!I8</f>
        <v>0</v>
      </c>
      <c r="X19" s="150">
        <f>Manure!J8</f>
        <v>0</v>
      </c>
      <c r="Y19" s="10" t="s">
        <v>460</v>
      </c>
    </row>
    <row r="20" spans="1:25" ht="16.5" customHeight="1" x14ac:dyDescent="0.3">
      <c r="A20" s="107" t="s">
        <v>37</v>
      </c>
      <c r="B20" s="117"/>
      <c r="C20" s="76" t="s">
        <v>509</v>
      </c>
      <c r="D20" s="26"/>
      <c r="E20" s="148">
        <f>M33</f>
        <v>220.18599999999998</v>
      </c>
      <c r="F20" s="32">
        <f t="shared" si="0"/>
        <v>220.18599999999998</v>
      </c>
      <c r="G20" s="29"/>
      <c r="I20" s="37" t="s">
        <v>430</v>
      </c>
      <c r="J20" s="35">
        <v>893</v>
      </c>
      <c r="K20" s="37" t="s">
        <v>438</v>
      </c>
      <c r="L20" s="36">
        <v>0</v>
      </c>
      <c r="M20" s="39">
        <f>'Fertilizer Calculations (Build)'!J9+'Fertilizer Calculations (Build)'!J15</f>
        <v>0</v>
      </c>
    </row>
    <row r="21" spans="1:25" ht="16.5" customHeight="1" x14ac:dyDescent="0.3">
      <c r="A21" s="107" t="s">
        <v>257</v>
      </c>
      <c r="B21" s="117"/>
      <c r="C21" s="76" t="s">
        <v>510</v>
      </c>
      <c r="D21" s="26"/>
      <c r="E21" s="275">
        <f>M75</f>
        <v>38.748750000000001</v>
      </c>
      <c r="F21" s="32">
        <f t="shared" si="0"/>
        <v>38.748750000000001</v>
      </c>
      <c r="G21" s="29"/>
      <c r="I21" s="37" t="s">
        <v>499</v>
      </c>
      <c r="J21" s="35">
        <v>670</v>
      </c>
      <c r="K21" s="37" t="s">
        <v>3</v>
      </c>
      <c r="L21" s="36">
        <v>10</v>
      </c>
      <c r="M21" s="39">
        <f>'Fertilizer Calculations (Build)'!J7</f>
        <v>39.195</v>
      </c>
      <c r="U21" s="10" t="s">
        <v>461</v>
      </c>
      <c r="Y21" s="54" t="s">
        <v>458</v>
      </c>
    </row>
    <row r="22" spans="1:25" ht="16.5" customHeight="1" x14ac:dyDescent="0.3">
      <c r="A22" s="107" t="s">
        <v>41</v>
      </c>
      <c r="B22" s="108"/>
      <c r="C22" s="76" t="s">
        <v>511</v>
      </c>
      <c r="D22" s="26"/>
      <c r="E22" s="71">
        <v>20</v>
      </c>
      <c r="F22" s="32">
        <f t="shared" si="0"/>
        <v>20</v>
      </c>
      <c r="G22" s="29"/>
      <c r="I22" s="37" t="s">
        <v>409</v>
      </c>
      <c r="J22" s="35">
        <v>500</v>
      </c>
      <c r="K22" s="37" t="s">
        <v>438</v>
      </c>
      <c r="L22" s="36">
        <v>375</v>
      </c>
      <c r="M22" s="39">
        <f>'Fertilizer Calculations (Build)'!J16</f>
        <v>93.75</v>
      </c>
      <c r="O22" s="152">
        <f>J24/2000</f>
        <v>0.26950000000000002</v>
      </c>
      <c r="P22" s="152">
        <f>O22*L24</f>
        <v>10.241000000000001</v>
      </c>
      <c r="U22" s="37" t="s">
        <v>51</v>
      </c>
      <c r="V22" s="37" t="s">
        <v>52</v>
      </c>
      <c r="W22" s="37" t="s">
        <v>445</v>
      </c>
      <c r="X22" s="37" t="s">
        <v>53</v>
      </c>
      <c r="Y22" s="103" t="s">
        <v>484</v>
      </c>
    </row>
    <row r="23" spans="1:25" ht="16.5" customHeight="1" x14ac:dyDescent="0.3">
      <c r="A23" s="107" t="s">
        <v>397</v>
      </c>
      <c r="B23" s="108"/>
      <c r="C23" s="76" t="s">
        <v>398</v>
      </c>
      <c r="D23" s="26"/>
      <c r="E23" s="71">
        <v>2</v>
      </c>
      <c r="F23" s="32">
        <f t="shared" si="0"/>
        <v>2</v>
      </c>
      <c r="G23" s="29"/>
      <c r="I23" s="37" t="s">
        <v>498</v>
      </c>
      <c r="J23" s="35">
        <v>0</v>
      </c>
      <c r="K23" s="37" t="s">
        <v>438</v>
      </c>
      <c r="L23" s="36">
        <v>0</v>
      </c>
      <c r="M23" s="39">
        <f>'Fertilizer Calculations (Build)'!J17</f>
        <v>0</v>
      </c>
      <c r="O23" s="2"/>
      <c r="T23" s="103" t="s">
        <v>485</v>
      </c>
      <c r="U23" s="60">
        <v>0</v>
      </c>
      <c r="V23" s="60">
        <v>0</v>
      </c>
      <c r="W23" s="60">
        <v>0</v>
      </c>
      <c r="X23" s="60">
        <v>0</v>
      </c>
      <c r="Y23" s="61" t="s">
        <v>467</v>
      </c>
    </row>
    <row r="24" spans="1:25" ht="16.5" customHeight="1" x14ac:dyDescent="0.3">
      <c r="A24" s="107" t="s">
        <v>396</v>
      </c>
      <c r="B24" s="108"/>
      <c r="C24" s="76" t="s">
        <v>516</v>
      </c>
      <c r="D24" s="26"/>
      <c r="E24" s="71">
        <v>0</v>
      </c>
      <c r="F24" s="32">
        <f t="shared" si="0"/>
        <v>0</v>
      </c>
      <c r="G24" s="29"/>
      <c r="I24" s="37" t="s">
        <v>455</v>
      </c>
      <c r="J24" s="35">
        <v>539</v>
      </c>
      <c r="K24" s="37" t="s">
        <v>438</v>
      </c>
      <c r="L24" s="36">
        <v>38</v>
      </c>
      <c r="M24" s="40">
        <f>'Fertilizer Calculations (Build)'!J10+'Fertilizer Calculations (Build)'!J19</f>
        <v>10.241</v>
      </c>
      <c r="T24" s="153" t="s">
        <v>490</v>
      </c>
      <c r="U24" s="150">
        <f>Manure!G10</f>
        <v>0</v>
      </c>
      <c r="V24" s="150">
        <f>Manure!H10</f>
        <v>0</v>
      </c>
      <c r="W24" s="150">
        <f>Manure!I10</f>
        <v>0</v>
      </c>
      <c r="X24" s="150">
        <f>Manure!J10</f>
        <v>0</v>
      </c>
      <c r="Y24" s="10" t="s">
        <v>460</v>
      </c>
    </row>
    <row r="25" spans="1:25" ht="16.5" customHeight="1" x14ac:dyDescent="0.3">
      <c r="A25" s="107" t="s">
        <v>43</v>
      </c>
      <c r="B25" s="117"/>
      <c r="C25" s="76" t="s">
        <v>402</v>
      </c>
      <c r="D25" s="26"/>
      <c r="E25" s="72">
        <v>24</v>
      </c>
      <c r="F25" s="32">
        <f t="shared" si="0"/>
        <v>24</v>
      </c>
      <c r="G25" s="29"/>
      <c r="I25" s="37" t="s">
        <v>500</v>
      </c>
      <c r="J25" s="35">
        <v>0</v>
      </c>
      <c r="K25" s="37" t="s">
        <v>438</v>
      </c>
      <c r="L25" s="36">
        <v>0</v>
      </c>
      <c r="M25" s="39">
        <f>'Fertilizer Calculations (Build)'!J20</f>
        <v>0</v>
      </c>
    </row>
    <row r="26" spans="1:25" ht="16.5" customHeight="1" x14ac:dyDescent="0.3">
      <c r="A26" s="107" t="s">
        <v>46</v>
      </c>
      <c r="B26" s="117"/>
      <c r="C26" s="76" t="s">
        <v>403</v>
      </c>
      <c r="D26" s="26"/>
      <c r="E26" s="72">
        <v>36</v>
      </c>
      <c r="F26" s="32">
        <f t="shared" si="0"/>
        <v>36</v>
      </c>
      <c r="G26" s="29"/>
      <c r="I26" s="37" t="s">
        <v>503</v>
      </c>
      <c r="J26" s="35">
        <v>55</v>
      </c>
      <c r="K26" s="37" t="s">
        <v>488</v>
      </c>
      <c r="L26" s="36">
        <v>1.4</v>
      </c>
      <c r="M26" s="39">
        <f>J26*L26</f>
        <v>77</v>
      </c>
      <c r="U26" s="257" t="s">
        <v>483</v>
      </c>
      <c r="V26" s="257"/>
      <c r="W26" s="257"/>
      <c r="X26" s="257"/>
      <c r="Y26" s="257"/>
    </row>
    <row r="27" spans="1:25" ht="16.5" customHeight="1" x14ac:dyDescent="0.3">
      <c r="A27" s="107" t="s">
        <v>38</v>
      </c>
      <c r="B27" s="117"/>
      <c r="C27" s="76" t="s">
        <v>512</v>
      </c>
      <c r="D27" s="26"/>
      <c r="E27" s="72">
        <v>12</v>
      </c>
      <c r="F27" s="32">
        <f t="shared" si="0"/>
        <v>12</v>
      </c>
      <c r="G27" s="29"/>
      <c r="I27" s="37" t="s">
        <v>466</v>
      </c>
      <c r="J27" s="35">
        <v>50</v>
      </c>
      <c r="K27" s="37" t="s">
        <v>488</v>
      </c>
      <c r="L27" s="36">
        <v>0</v>
      </c>
      <c r="M27" s="39">
        <f>J27*L27</f>
        <v>0</v>
      </c>
      <c r="U27" s="257"/>
      <c r="V27" s="257"/>
      <c r="W27" s="257"/>
      <c r="X27" s="257"/>
      <c r="Y27" s="257"/>
    </row>
    <row r="28" spans="1:25" ht="16.5" customHeight="1" x14ac:dyDescent="0.3">
      <c r="A28" s="107" t="s">
        <v>390</v>
      </c>
      <c r="B28" s="108"/>
      <c r="C28" s="76" t="s">
        <v>517</v>
      </c>
      <c r="D28" s="26"/>
      <c r="E28" s="72">
        <v>5</v>
      </c>
      <c r="F28" s="32">
        <f t="shared" si="0"/>
        <v>5</v>
      </c>
      <c r="G28" s="29"/>
      <c r="I28" s="37" t="s">
        <v>486</v>
      </c>
      <c r="J28" s="35">
        <v>0.01</v>
      </c>
      <c r="K28" s="37" t="s">
        <v>487</v>
      </c>
      <c r="L28" s="65">
        <v>0</v>
      </c>
      <c r="M28" s="46">
        <f>J28*L28*1000</f>
        <v>0</v>
      </c>
    </row>
    <row r="29" spans="1:25" ht="16.5" customHeight="1" x14ac:dyDescent="0.3">
      <c r="A29" s="107" t="s">
        <v>42</v>
      </c>
      <c r="B29" s="108"/>
      <c r="C29" s="76" t="s">
        <v>404</v>
      </c>
      <c r="D29" s="26"/>
      <c r="E29" s="72">
        <v>3</v>
      </c>
      <c r="F29" s="32">
        <f t="shared" si="0"/>
        <v>3</v>
      </c>
      <c r="G29" s="29"/>
      <c r="U29" s="154" t="s">
        <v>480</v>
      </c>
      <c r="V29" s="154"/>
      <c r="W29" s="154"/>
      <c r="X29" s="154"/>
    </row>
    <row r="30" spans="1:25" ht="16.5" customHeight="1" x14ac:dyDescent="0.3">
      <c r="A30" s="107" t="s">
        <v>48</v>
      </c>
      <c r="B30" s="108"/>
      <c r="C30" s="76" t="s">
        <v>399</v>
      </c>
      <c r="D30" s="26"/>
      <c r="E30" s="71">
        <v>1</v>
      </c>
      <c r="F30" s="32">
        <f t="shared" si="0"/>
        <v>1</v>
      </c>
      <c r="G30" s="29"/>
      <c r="I30" s="135" t="s">
        <v>593</v>
      </c>
      <c r="J30" s="135" t="s">
        <v>594</v>
      </c>
      <c r="K30" s="165"/>
      <c r="L30" s="135" t="s">
        <v>595</v>
      </c>
      <c r="M30" s="95" t="s">
        <v>407</v>
      </c>
      <c r="U30" s="157" t="s">
        <v>51</v>
      </c>
      <c r="V30" s="157" t="s">
        <v>52</v>
      </c>
      <c r="W30" s="157" t="s">
        <v>445</v>
      </c>
      <c r="X30" s="157" t="s">
        <v>53</v>
      </c>
    </row>
    <row r="31" spans="1:25" ht="16.5" customHeight="1" x14ac:dyDescent="0.3">
      <c r="A31" s="107" t="s">
        <v>49</v>
      </c>
      <c r="B31" s="108"/>
      <c r="C31" s="76" t="s">
        <v>513</v>
      </c>
      <c r="D31" s="26"/>
      <c r="E31" s="72">
        <v>4</v>
      </c>
      <c r="F31" s="32">
        <f t="shared" si="0"/>
        <v>4</v>
      </c>
      <c r="G31" s="29"/>
      <c r="I31" s="37" t="s">
        <v>168</v>
      </c>
      <c r="J31" s="35">
        <v>10</v>
      </c>
      <c r="K31" s="37"/>
      <c r="L31" s="36">
        <v>0</v>
      </c>
      <c r="M31" s="39">
        <f>J31*L31</f>
        <v>0</v>
      </c>
      <c r="U31" s="157">
        <v>42</v>
      </c>
      <c r="V31" s="157">
        <v>75</v>
      </c>
      <c r="W31" s="157">
        <v>58</v>
      </c>
      <c r="X31" s="157">
        <v>8</v>
      </c>
    </row>
    <row r="32" spans="1:25" ht="16.5" customHeight="1" x14ac:dyDescent="0.3">
      <c r="A32" s="107" t="s">
        <v>368</v>
      </c>
      <c r="B32" s="108"/>
      <c r="C32" s="76" t="s">
        <v>514</v>
      </c>
      <c r="D32" s="26"/>
      <c r="E32" s="72">
        <v>14</v>
      </c>
      <c r="F32" s="32">
        <f t="shared" si="0"/>
        <v>14</v>
      </c>
      <c r="G32" s="29"/>
    </row>
    <row r="33" spans="1:25" ht="16.5" customHeight="1" x14ac:dyDescent="0.3">
      <c r="A33" s="112" t="s">
        <v>541</v>
      </c>
      <c r="B33" s="108"/>
      <c r="C33" s="76" t="s">
        <v>543</v>
      </c>
      <c r="D33" s="26"/>
      <c r="E33" s="72">
        <v>0</v>
      </c>
      <c r="F33" s="32">
        <f t="shared" si="0"/>
        <v>0</v>
      </c>
      <c r="G33" s="29"/>
      <c r="L33" s="155" t="s">
        <v>434</v>
      </c>
      <c r="M33" s="156">
        <f>SUM(M16:M31)</f>
        <v>220.18599999999998</v>
      </c>
      <c r="R33" s="10">
        <v>0</v>
      </c>
      <c r="S33" s="10" t="s">
        <v>444</v>
      </c>
      <c r="U33" s="154" t="s">
        <v>481</v>
      </c>
      <c r="V33" s="154"/>
      <c r="W33" s="154"/>
      <c r="X33" s="154"/>
    </row>
    <row r="34" spans="1:25" ht="16.5" customHeight="1" x14ac:dyDescent="0.3">
      <c r="A34" s="112" t="s">
        <v>542</v>
      </c>
      <c r="B34" s="108"/>
      <c r="C34" s="76" t="s">
        <v>544</v>
      </c>
      <c r="D34" s="26"/>
      <c r="E34" s="72">
        <v>0</v>
      </c>
      <c r="F34" s="32">
        <f t="shared" si="0"/>
        <v>0</v>
      </c>
      <c r="G34" s="29"/>
      <c r="M34" s="156"/>
      <c r="R34" s="161">
        <v>8</v>
      </c>
      <c r="S34" s="162" t="s">
        <v>440</v>
      </c>
      <c r="T34" s="162"/>
      <c r="U34" s="157" t="s">
        <v>51</v>
      </c>
      <c r="V34" s="157" t="s">
        <v>52</v>
      </c>
      <c r="W34" s="157" t="s">
        <v>445</v>
      </c>
      <c r="X34" s="157" t="s">
        <v>53</v>
      </c>
    </row>
    <row r="35" spans="1:25" ht="16.5" customHeight="1" x14ac:dyDescent="0.3">
      <c r="A35" s="112" t="s">
        <v>479</v>
      </c>
      <c r="B35" s="108"/>
      <c r="C35" s="76" t="s">
        <v>400</v>
      </c>
      <c r="D35" s="26"/>
      <c r="E35" s="72">
        <v>7</v>
      </c>
      <c r="F35" s="32">
        <f t="shared" si="0"/>
        <v>7</v>
      </c>
      <c r="G35" s="29"/>
      <c r="I35" s="267" t="s">
        <v>591</v>
      </c>
      <c r="J35" s="158" t="s">
        <v>51</v>
      </c>
      <c r="K35" s="158" t="s">
        <v>52</v>
      </c>
      <c r="L35" s="158" t="s">
        <v>445</v>
      </c>
      <c r="M35" s="158" t="s">
        <v>53</v>
      </c>
      <c r="R35" s="161">
        <v>16</v>
      </c>
      <c r="S35" s="162" t="s">
        <v>441</v>
      </c>
      <c r="T35" s="162"/>
      <c r="U35" s="157">
        <v>43</v>
      </c>
      <c r="V35" s="157">
        <v>17</v>
      </c>
      <c r="W35" s="157">
        <v>38</v>
      </c>
      <c r="X35" s="157">
        <v>10</v>
      </c>
    </row>
    <row r="36" spans="1:25" ht="16.5" customHeight="1" x14ac:dyDescent="0.3">
      <c r="A36" s="112" t="s">
        <v>366</v>
      </c>
      <c r="B36" s="108"/>
      <c r="C36" s="76" t="s">
        <v>401</v>
      </c>
      <c r="D36" s="26"/>
      <c r="E36" s="72">
        <v>0</v>
      </c>
      <c r="F36" s="32">
        <f t="shared" si="0"/>
        <v>0</v>
      </c>
      <c r="G36" s="29"/>
      <c r="I36" s="267"/>
      <c r="J36" s="159">
        <f>'Fertilizer Calculations (Build)'!P5+(U19*L27)+(L28*U24)</f>
        <v>19.68</v>
      </c>
      <c r="K36" s="159">
        <f>'Fertilizer Calculations (Build)'!Q5+(V19*L27)+(L28*V24)</f>
        <v>39.78</v>
      </c>
      <c r="L36" s="159">
        <f>'Fertilizer Calculations (Build)'!R5+(W19*L27)+(L28*W24)</f>
        <v>225</v>
      </c>
      <c r="M36" s="159">
        <f>'Fertilizer Calculations (Build)'!S5+(X19*L27)+(L28*X24)</f>
        <v>9.1199999999999992</v>
      </c>
      <c r="R36" s="161">
        <v>128</v>
      </c>
      <c r="S36" s="162" t="s">
        <v>442</v>
      </c>
      <c r="T36" s="162"/>
    </row>
    <row r="37" spans="1:25" ht="16.5" customHeight="1" x14ac:dyDescent="0.3">
      <c r="A37" s="74" t="s">
        <v>482</v>
      </c>
      <c r="B37" s="108"/>
      <c r="C37" s="76"/>
      <c r="D37" s="163"/>
      <c r="E37" s="71">
        <v>0</v>
      </c>
      <c r="F37" s="32">
        <f t="shared" si="0"/>
        <v>0</v>
      </c>
      <c r="G37" s="29"/>
      <c r="I37" s="160"/>
      <c r="J37" s="160"/>
      <c r="K37" s="150"/>
      <c r="L37" s="150"/>
      <c r="M37" s="150"/>
      <c r="N37" s="164"/>
      <c r="R37" s="10">
        <v>4</v>
      </c>
      <c r="S37" s="10" t="s">
        <v>443</v>
      </c>
      <c r="U37" s="262" t="s">
        <v>549</v>
      </c>
      <c r="V37" s="262"/>
      <c r="W37" s="262"/>
      <c r="X37" s="262"/>
      <c r="Y37" s="262"/>
    </row>
    <row r="38" spans="1:25" ht="16.5" customHeight="1" x14ac:dyDescent="0.3">
      <c r="A38" s="74" t="s">
        <v>482</v>
      </c>
      <c r="B38" s="108"/>
      <c r="C38" s="76"/>
      <c r="D38" s="163"/>
      <c r="E38" s="71">
        <v>0</v>
      </c>
      <c r="F38" s="32">
        <f t="shared" si="0"/>
        <v>0</v>
      </c>
      <c r="G38" s="29"/>
      <c r="I38" s="259" t="s">
        <v>436</v>
      </c>
      <c r="J38" s="260"/>
      <c r="K38" s="260"/>
      <c r="L38" s="260"/>
      <c r="M38" s="261"/>
      <c r="U38" s="262"/>
      <c r="V38" s="262"/>
      <c r="W38" s="262"/>
      <c r="X38" s="262"/>
      <c r="Y38" s="262"/>
    </row>
    <row r="39" spans="1:25" ht="16.5" customHeight="1" x14ac:dyDescent="0.3">
      <c r="A39" s="74" t="s">
        <v>482</v>
      </c>
      <c r="B39" s="108"/>
      <c r="C39" s="76"/>
      <c r="D39" s="163"/>
      <c r="E39" s="71">
        <v>0</v>
      </c>
      <c r="F39" s="32">
        <f t="shared" si="0"/>
        <v>0</v>
      </c>
      <c r="G39" s="29"/>
      <c r="U39" s="262"/>
      <c r="V39" s="262"/>
      <c r="W39" s="262"/>
      <c r="X39" s="262"/>
      <c r="Y39" s="262"/>
    </row>
    <row r="40" spans="1:25" ht="16.5" customHeight="1" thickBot="1" x14ac:dyDescent="0.35">
      <c r="A40" s="166" t="s">
        <v>251</v>
      </c>
      <c r="B40" s="167"/>
      <c r="C40" s="18"/>
      <c r="D40" s="22"/>
      <c r="E40" s="23">
        <f>SUM(E19:E39)</f>
        <v>445.30475000000001</v>
      </c>
      <c r="F40" s="168"/>
      <c r="G40" s="29"/>
      <c r="I40" s="263" t="s">
        <v>522</v>
      </c>
      <c r="J40" s="263"/>
      <c r="K40" s="263"/>
      <c r="L40" s="263"/>
      <c r="M40" s="263"/>
      <c r="U40" s="262"/>
      <c r="V40" s="262"/>
      <c r="W40" s="262"/>
      <c r="X40" s="262"/>
      <c r="Y40" s="262"/>
    </row>
    <row r="41" spans="1:25" ht="16.5" customHeight="1" thickTop="1" x14ac:dyDescent="0.3">
      <c r="A41" s="169" t="s">
        <v>370</v>
      </c>
      <c r="B41" s="170"/>
      <c r="C41" s="171"/>
      <c r="D41" s="172"/>
      <c r="E41" s="173">
        <f>E15-E40</f>
        <v>105.19524999999999</v>
      </c>
      <c r="F41" s="174"/>
      <c r="G41" s="29"/>
      <c r="I41" s="135" t="s">
        <v>427</v>
      </c>
      <c r="J41" s="135" t="s">
        <v>439</v>
      </c>
      <c r="K41" s="165" t="s">
        <v>437</v>
      </c>
      <c r="L41" s="135" t="s">
        <v>435</v>
      </c>
      <c r="M41" s="95" t="s">
        <v>407</v>
      </c>
      <c r="U41" s="262"/>
      <c r="V41" s="262"/>
      <c r="W41" s="262"/>
      <c r="X41" s="262"/>
      <c r="Y41" s="262"/>
    </row>
    <row r="42" spans="1:25" ht="16.5" customHeight="1" x14ac:dyDescent="0.3">
      <c r="A42" s="175"/>
      <c r="B42" s="141"/>
      <c r="C42" s="176"/>
      <c r="D42" s="177"/>
      <c r="E42" s="178"/>
      <c r="F42" s="138"/>
      <c r="G42" s="29"/>
      <c r="I42" s="103" t="s">
        <v>60</v>
      </c>
      <c r="J42" s="103" t="s">
        <v>60</v>
      </c>
      <c r="K42" s="103" t="s">
        <v>60</v>
      </c>
      <c r="L42" s="103" t="s">
        <v>60</v>
      </c>
      <c r="M42" s="95"/>
      <c r="U42" s="262"/>
      <c r="V42" s="262"/>
      <c r="W42" s="262"/>
      <c r="X42" s="262"/>
      <c r="Y42" s="262"/>
    </row>
    <row r="43" spans="1:25" ht="16.5" customHeight="1" x14ac:dyDescent="0.3">
      <c r="A43" s="179" t="s">
        <v>373</v>
      </c>
      <c r="B43" s="141"/>
      <c r="C43" s="176"/>
      <c r="D43" s="177"/>
      <c r="E43" s="146" t="s">
        <v>35</v>
      </c>
      <c r="F43" s="147"/>
      <c r="G43" s="29"/>
      <c r="I43" s="36" t="s">
        <v>497</v>
      </c>
      <c r="J43" s="35">
        <v>44.14</v>
      </c>
      <c r="K43" s="55" t="s">
        <v>440</v>
      </c>
      <c r="L43" s="36">
        <v>1.5</v>
      </c>
      <c r="M43" s="39">
        <f>IFERROR(J43/(_xlfn.XLOOKUP(K43,$S$33:$S$37,$R$33:$R$37))*L43,0)</f>
        <v>8.276250000000001</v>
      </c>
    </row>
    <row r="44" spans="1:25" ht="16.5" customHeight="1" x14ac:dyDescent="0.3">
      <c r="A44" s="180" t="s">
        <v>256</v>
      </c>
      <c r="B44" s="108"/>
      <c r="C44" s="76" t="s">
        <v>515</v>
      </c>
      <c r="D44" s="163"/>
      <c r="E44" s="72">
        <v>9</v>
      </c>
      <c r="F44" s="32">
        <f t="shared" ref="F44:F50" si="1">E44</f>
        <v>9</v>
      </c>
      <c r="G44" s="29"/>
      <c r="I44" s="36" t="s">
        <v>496</v>
      </c>
      <c r="J44" s="35">
        <v>63.98</v>
      </c>
      <c r="K44" s="55" t="s">
        <v>442</v>
      </c>
      <c r="L44" s="36">
        <v>24</v>
      </c>
      <c r="M44" s="39">
        <f t="shared" ref="M44" si="2">IFERROR(J44/(_xlfn.XLOOKUP(K44,$S$33:$S$37,$R$33:$R$37))*L44,0)</f>
        <v>11.99625</v>
      </c>
      <c r="U44" s="224" t="s">
        <v>550</v>
      </c>
      <c r="V44" s="2"/>
      <c r="W44" s="2"/>
      <c r="X44" s="225"/>
    </row>
    <row r="45" spans="1:25" ht="16.5" customHeight="1" x14ac:dyDescent="0.3">
      <c r="A45" s="112" t="s">
        <v>169</v>
      </c>
      <c r="B45" s="108"/>
      <c r="C45" s="76" t="s">
        <v>518</v>
      </c>
      <c r="D45" s="163"/>
      <c r="E45" s="72">
        <v>200</v>
      </c>
      <c r="F45" s="32">
        <f t="shared" si="1"/>
        <v>200</v>
      </c>
      <c r="G45" s="29"/>
      <c r="I45" s="36" t="s">
        <v>526</v>
      </c>
      <c r="J45" s="35">
        <v>31.98</v>
      </c>
      <c r="K45" s="55" t="s">
        <v>442</v>
      </c>
      <c r="L45" s="36">
        <v>20</v>
      </c>
      <c r="M45" s="39">
        <f>IFERROR(J45/(_xlfn.XLOOKUP(K45,$S$33:$S$37,$R$33:$R$37))*L45,0)</f>
        <v>4.9968750000000002</v>
      </c>
      <c r="U45" s="224" t="s">
        <v>551</v>
      </c>
      <c r="V45" s="226"/>
      <c r="W45" s="2"/>
    </row>
    <row r="46" spans="1:25" ht="16.5" customHeight="1" x14ac:dyDescent="0.3">
      <c r="A46" s="112" t="s">
        <v>478</v>
      </c>
      <c r="B46" s="108"/>
      <c r="C46" s="76" t="s">
        <v>475</v>
      </c>
      <c r="D46" s="163"/>
      <c r="E46" s="72">
        <v>5</v>
      </c>
      <c r="F46" s="32">
        <f t="shared" si="1"/>
        <v>5</v>
      </c>
      <c r="G46" s="29"/>
      <c r="I46" s="36" t="s">
        <v>366</v>
      </c>
      <c r="J46" s="35">
        <v>0</v>
      </c>
      <c r="K46" s="55" t="s">
        <v>444</v>
      </c>
      <c r="L46" s="36">
        <v>0</v>
      </c>
      <c r="M46" s="39">
        <f>IFERROR(J46/(_xlfn.XLOOKUP(K46,$S$33:$S$37,$R$33:$R$37))*L46,0)</f>
        <v>0</v>
      </c>
      <c r="U46" s="224" t="s">
        <v>552</v>
      </c>
      <c r="V46" s="149"/>
      <c r="W46" s="224"/>
      <c r="X46" s="225"/>
    </row>
    <row r="47" spans="1:25" ht="16.5" customHeight="1" x14ac:dyDescent="0.3">
      <c r="A47" s="112" t="s">
        <v>477</v>
      </c>
      <c r="B47" s="108"/>
      <c r="C47" s="76" t="s">
        <v>476</v>
      </c>
      <c r="D47" s="163"/>
      <c r="E47" s="72">
        <v>40</v>
      </c>
      <c r="F47" s="32">
        <f t="shared" si="1"/>
        <v>40</v>
      </c>
      <c r="G47" s="29"/>
      <c r="U47" s="224" t="s">
        <v>553</v>
      </c>
      <c r="V47" s="227"/>
      <c r="X47" s="225"/>
    </row>
    <row r="48" spans="1:25" ht="16.5" customHeight="1" x14ac:dyDescent="0.3">
      <c r="A48" s="112" t="s">
        <v>366</v>
      </c>
      <c r="B48" s="108"/>
      <c r="C48" s="76" t="s">
        <v>401</v>
      </c>
      <c r="D48" s="163"/>
      <c r="E48" s="71">
        <v>0</v>
      </c>
      <c r="F48" s="32">
        <f t="shared" si="1"/>
        <v>0</v>
      </c>
      <c r="G48" s="29"/>
      <c r="I48" s="10" t="s">
        <v>32</v>
      </c>
      <c r="J48" s="35">
        <v>28.86</v>
      </c>
      <c r="K48" s="55" t="s">
        <v>441</v>
      </c>
      <c r="L48" s="36">
        <v>1.5</v>
      </c>
      <c r="M48" s="39">
        <f>IFERROR(J48/(_xlfn.XLOOKUP(K48,$S$33:$S$37,$R$33:$R$37))*L48,0)</f>
        <v>2.7056249999999999</v>
      </c>
      <c r="U48" s="224" t="s">
        <v>570</v>
      </c>
      <c r="V48" s="228">
        <v>68</v>
      </c>
      <c r="X48" s="225"/>
    </row>
    <row r="49" spans="1:24" ht="16.5" customHeight="1" x14ac:dyDescent="0.3">
      <c r="A49" s="74" t="s">
        <v>482</v>
      </c>
      <c r="B49" s="108"/>
      <c r="C49" s="76"/>
      <c r="D49" s="163"/>
      <c r="E49" s="71">
        <v>0</v>
      </c>
      <c r="F49" s="32">
        <f t="shared" si="1"/>
        <v>0</v>
      </c>
      <c r="G49" s="29"/>
      <c r="I49" s="10" t="s">
        <v>67</v>
      </c>
      <c r="J49" s="35">
        <v>0</v>
      </c>
      <c r="K49" s="55" t="s">
        <v>444</v>
      </c>
      <c r="L49" s="36">
        <v>0</v>
      </c>
      <c r="M49" s="39">
        <f t="shared" ref="M49:M52" si="3">IFERROR(J49/(_xlfn.XLOOKUP(K49,$S$33:$S$37,$R$33:$R$37))*L49,0)</f>
        <v>0</v>
      </c>
      <c r="U49" s="224" t="s">
        <v>554</v>
      </c>
      <c r="V49" s="149">
        <v>6.3</v>
      </c>
      <c r="X49" s="225"/>
    </row>
    <row r="50" spans="1:24" ht="16.5" customHeight="1" x14ac:dyDescent="0.3">
      <c r="A50" s="75" t="s">
        <v>482</v>
      </c>
      <c r="B50" s="108"/>
      <c r="C50" s="76"/>
      <c r="D50" s="163"/>
      <c r="E50" s="71">
        <v>0</v>
      </c>
      <c r="F50" s="32">
        <f t="shared" si="1"/>
        <v>0</v>
      </c>
      <c r="G50" s="29"/>
      <c r="I50" s="10" t="s">
        <v>70</v>
      </c>
      <c r="J50" s="35">
        <v>0</v>
      </c>
      <c r="K50" s="55" t="s">
        <v>444</v>
      </c>
      <c r="L50" s="36">
        <v>0</v>
      </c>
      <c r="M50" s="39">
        <f t="shared" si="3"/>
        <v>0</v>
      </c>
      <c r="U50" s="224" t="s">
        <v>555</v>
      </c>
      <c r="V50" s="149">
        <v>6.5</v>
      </c>
    </row>
    <row r="51" spans="1:24" ht="16.5" customHeight="1" x14ac:dyDescent="0.3">
      <c r="A51" s="181" t="s">
        <v>375</v>
      </c>
      <c r="B51" s="182"/>
      <c r="C51" s="19"/>
      <c r="D51" s="26"/>
      <c r="E51" s="64">
        <f>SUM(E44:E50)</f>
        <v>254</v>
      </c>
      <c r="F51" s="32">
        <f>E50</f>
        <v>0</v>
      </c>
      <c r="G51" s="29"/>
      <c r="I51" s="10" t="s">
        <v>71</v>
      </c>
      <c r="J51" s="35">
        <v>0</v>
      </c>
      <c r="K51" s="55" t="s">
        <v>444</v>
      </c>
      <c r="L51" s="36">
        <v>0</v>
      </c>
      <c r="M51" s="39">
        <f t="shared" si="3"/>
        <v>0</v>
      </c>
      <c r="U51" s="224" t="s">
        <v>556</v>
      </c>
      <c r="V51" s="149" t="s">
        <v>571</v>
      </c>
    </row>
    <row r="52" spans="1:24" ht="16.5" customHeight="1" thickBot="1" x14ac:dyDescent="0.35">
      <c r="A52" s="183" t="s">
        <v>376</v>
      </c>
      <c r="B52" s="167"/>
      <c r="C52" s="20"/>
      <c r="D52" s="22"/>
      <c r="E52" s="25">
        <f>E40+E51</f>
        <v>699.30475000000001</v>
      </c>
      <c r="F52" s="168"/>
      <c r="G52" s="17"/>
      <c r="I52" s="10" t="s">
        <v>69</v>
      </c>
      <c r="J52" s="35">
        <v>0</v>
      </c>
      <c r="K52" s="55" t="s">
        <v>444</v>
      </c>
      <c r="L52" s="36">
        <v>0</v>
      </c>
      <c r="M52" s="39">
        <f t="shared" si="3"/>
        <v>0</v>
      </c>
      <c r="U52" s="224" t="s">
        <v>557</v>
      </c>
      <c r="V52" s="149" t="s">
        <v>572</v>
      </c>
    </row>
    <row r="53" spans="1:24" ht="16.5" customHeight="1" thickTop="1" x14ac:dyDescent="0.3">
      <c r="A53" s="184" t="s">
        <v>388</v>
      </c>
      <c r="B53" s="170"/>
      <c r="C53" s="185"/>
      <c r="D53" s="131"/>
      <c r="E53" s="186">
        <f>E15-E52</f>
        <v>-148.80475000000001</v>
      </c>
      <c r="F53" s="174"/>
      <c r="G53" s="17"/>
      <c r="I53" s="10" t="s">
        <v>524</v>
      </c>
      <c r="J53" s="35">
        <v>0</v>
      </c>
      <c r="K53" s="55" t="s">
        <v>444</v>
      </c>
      <c r="L53" s="36">
        <v>0</v>
      </c>
      <c r="M53" s="39">
        <f>IFERROR(J53/(_xlfn.XLOOKUP(K53,$S$33:$S$37,$R$33:$R$37))*L53,0)</f>
        <v>0</v>
      </c>
      <c r="N53" s="164"/>
      <c r="U53" s="224" t="s">
        <v>558</v>
      </c>
      <c r="V53" s="2"/>
      <c r="W53" s="149" t="s">
        <v>573</v>
      </c>
    </row>
    <row r="54" spans="1:24" ht="16.5" customHeight="1" x14ac:dyDescent="0.3">
      <c r="A54" s="187"/>
      <c r="B54" s="141"/>
      <c r="C54" s="188"/>
      <c r="D54" s="188"/>
      <c r="E54" s="189"/>
      <c r="F54" s="190"/>
      <c r="G54" s="191"/>
      <c r="I54" s="67" t="s">
        <v>525</v>
      </c>
      <c r="J54" s="35">
        <v>0</v>
      </c>
      <c r="K54" s="55" t="s">
        <v>444</v>
      </c>
      <c r="L54" s="36">
        <v>0</v>
      </c>
      <c r="M54" s="39">
        <f t="shared" ref="M54" si="4">IFERROR(J54/(_xlfn.XLOOKUP(K54,$S$33:$S$37,$R$33:$R$37))*L54,0)</f>
        <v>0</v>
      </c>
      <c r="U54" s="224" t="s">
        <v>559</v>
      </c>
      <c r="V54" s="149" t="s">
        <v>574</v>
      </c>
    </row>
    <row r="55" spans="1:24" ht="16.5" customHeight="1" x14ac:dyDescent="0.3">
      <c r="A55" s="192" t="s">
        <v>363</v>
      </c>
      <c r="B55" s="193"/>
      <c r="C55" s="193"/>
      <c r="D55" s="193"/>
      <c r="E55" s="193"/>
      <c r="F55" s="194"/>
      <c r="G55" s="195"/>
      <c r="U55" s="224" t="s">
        <v>560</v>
      </c>
      <c r="V55" s="2"/>
      <c r="W55" s="228">
        <v>13.1</v>
      </c>
    </row>
    <row r="56" spans="1:24" ht="16.5" customHeight="1" x14ac:dyDescent="0.3">
      <c r="A56" s="196"/>
      <c r="B56" s="197"/>
      <c r="C56" s="198"/>
      <c r="D56" s="198"/>
      <c r="E56" s="198"/>
      <c r="F56" s="199"/>
      <c r="G56" s="200"/>
      <c r="I56" s="263" t="s">
        <v>523</v>
      </c>
      <c r="J56" s="263"/>
      <c r="K56" s="263"/>
      <c r="L56" s="263"/>
      <c r="M56" s="263"/>
      <c r="U56" s="268" t="s">
        <v>561</v>
      </c>
      <c r="V56" s="268"/>
      <c r="W56" s="268"/>
    </row>
    <row r="57" spans="1:24" ht="16.5" customHeight="1" x14ac:dyDescent="0.3">
      <c r="A57" s="179" t="s">
        <v>389</v>
      </c>
      <c r="B57" s="201"/>
      <c r="C57" s="198"/>
      <c r="D57" s="198"/>
      <c r="E57" s="198"/>
      <c r="F57" s="202"/>
      <c r="G57" s="17"/>
      <c r="I57" s="135" t="s">
        <v>427</v>
      </c>
      <c r="J57" s="135" t="s">
        <v>439</v>
      </c>
      <c r="K57" s="165" t="s">
        <v>437</v>
      </c>
      <c r="L57" s="135" t="s">
        <v>435</v>
      </c>
      <c r="M57" s="95" t="s">
        <v>407</v>
      </c>
      <c r="U57" s="229" t="s">
        <v>445</v>
      </c>
      <c r="V57" s="229" t="s">
        <v>562</v>
      </c>
      <c r="W57" s="229" t="s">
        <v>563</v>
      </c>
    </row>
    <row r="58" spans="1:24" ht="16.5" customHeight="1" x14ac:dyDescent="0.3">
      <c r="A58" s="203" t="s">
        <v>394</v>
      </c>
      <c r="B58" s="204"/>
      <c r="C58" s="205"/>
      <c r="D58" s="205"/>
      <c r="E58" s="141">
        <f>E52/E9</f>
        <v>13.986095000000001</v>
      </c>
      <c r="F58" s="206" t="s">
        <v>395</v>
      </c>
      <c r="G58" s="17"/>
      <c r="I58" s="103" t="s">
        <v>60</v>
      </c>
      <c r="J58" s="103" t="s">
        <v>60</v>
      </c>
      <c r="K58" s="103" t="s">
        <v>60</v>
      </c>
      <c r="L58" s="103" t="s">
        <v>60</v>
      </c>
      <c r="M58" s="95"/>
      <c r="U58" s="228">
        <v>0.5</v>
      </c>
      <c r="V58" s="149">
        <v>14.3</v>
      </c>
      <c r="W58" s="149">
        <v>85.2</v>
      </c>
    </row>
    <row r="59" spans="1:24" ht="16.5" customHeight="1" thickBot="1" x14ac:dyDescent="0.35">
      <c r="A59" s="207" t="s">
        <v>362</v>
      </c>
      <c r="B59" s="208"/>
      <c r="C59" s="209"/>
      <c r="D59" s="209"/>
      <c r="E59" s="210">
        <f>E52/E8</f>
        <v>63.515417801998183</v>
      </c>
      <c r="F59" s="211" t="s">
        <v>446</v>
      </c>
      <c r="G59" s="17"/>
      <c r="I59" s="36" t="s">
        <v>521</v>
      </c>
      <c r="J59" s="35">
        <v>65.98</v>
      </c>
      <c r="K59" s="55" t="s">
        <v>442</v>
      </c>
      <c r="L59" s="36">
        <v>8</v>
      </c>
      <c r="M59" s="39">
        <f>IFERROR(J59/(_xlfn.XLOOKUP(K59,$S$33:$S$37,$R$33:$R$37))*L59,0)</f>
        <v>4.1237500000000002</v>
      </c>
      <c r="U59" s="224" t="s">
        <v>564</v>
      </c>
      <c r="V59" s="2"/>
      <c r="W59" s="228"/>
    </row>
    <row r="60" spans="1:24" ht="16.5" customHeight="1" x14ac:dyDescent="0.3">
      <c r="A60" s="91"/>
      <c r="B60" s="91"/>
      <c r="C60" s="91"/>
      <c r="D60" s="91"/>
      <c r="E60" s="91"/>
      <c r="F60" s="91"/>
      <c r="G60" s="17"/>
      <c r="I60" s="36" t="s">
        <v>366</v>
      </c>
      <c r="J60" s="35">
        <v>0</v>
      </c>
      <c r="K60" s="55" t="s">
        <v>444</v>
      </c>
      <c r="L60" s="36">
        <v>0</v>
      </c>
      <c r="M60" s="39">
        <f t="shared" ref="M60:M61" si="5">IFERROR(J60/(_xlfn.XLOOKUP(K60,$S$33:$S$37,$R$33:$R$37))*L60,0)</f>
        <v>0</v>
      </c>
    </row>
    <row r="61" spans="1:24" ht="16.5" customHeight="1" x14ac:dyDescent="0.3">
      <c r="A61" s="154" t="s">
        <v>449</v>
      </c>
      <c r="G61" s="17"/>
      <c r="I61" s="36" t="s">
        <v>366</v>
      </c>
      <c r="J61" s="35">
        <v>0</v>
      </c>
      <c r="K61" s="55" t="s">
        <v>444</v>
      </c>
      <c r="L61" s="36">
        <v>0</v>
      </c>
      <c r="M61" s="39">
        <f t="shared" si="5"/>
        <v>0</v>
      </c>
      <c r="U61" s="268" t="s">
        <v>565</v>
      </c>
      <c r="V61" s="268"/>
      <c r="W61" s="268"/>
      <c r="X61" s="268"/>
    </row>
    <row r="62" spans="1:24" ht="16.5" customHeight="1" x14ac:dyDescent="0.3">
      <c r="A62" s="154" t="s">
        <v>450</v>
      </c>
      <c r="G62" s="17"/>
      <c r="J62" s="7"/>
      <c r="K62" s="7"/>
      <c r="L62" s="7"/>
      <c r="U62" s="224" t="s">
        <v>0</v>
      </c>
      <c r="V62" s="268" t="s">
        <v>566</v>
      </c>
      <c r="W62" s="268"/>
      <c r="X62" s="224" t="s">
        <v>416</v>
      </c>
    </row>
    <row r="63" spans="1:24" ht="16.5" customHeight="1" x14ac:dyDescent="0.3">
      <c r="A63" s="212"/>
      <c r="B63" s="154"/>
      <c r="C63" s="154"/>
      <c r="D63" s="154"/>
      <c r="E63" s="154"/>
      <c r="F63" s="154"/>
      <c r="G63" s="21"/>
      <c r="I63" s="10" t="s">
        <v>32</v>
      </c>
      <c r="J63" s="35">
        <v>0</v>
      </c>
      <c r="K63" s="55" t="s">
        <v>444</v>
      </c>
      <c r="L63" s="36">
        <v>0</v>
      </c>
      <c r="M63" s="39">
        <f>IFERROR(J63/(_xlfn.XLOOKUP(K63,$S$33:$S$37,$R$33:$R$37))*L63,0)</f>
        <v>0</v>
      </c>
      <c r="U63" s="2" t="s">
        <v>567</v>
      </c>
      <c r="V63" s="269" t="s">
        <v>567</v>
      </c>
      <c r="W63" s="269"/>
      <c r="X63" s="2" t="s">
        <v>567</v>
      </c>
    </row>
    <row r="64" spans="1:24" ht="16.5" customHeight="1" x14ac:dyDescent="0.3">
      <c r="A64" s="212"/>
      <c r="B64" s="154"/>
      <c r="C64" s="154"/>
      <c r="D64" s="154"/>
      <c r="E64" s="154"/>
      <c r="F64" s="154"/>
      <c r="G64" s="21"/>
      <c r="I64" s="10" t="s">
        <v>67</v>
      </c>
      <c r="J64" s="35">
        <v>0</v>
      </c>
      <c r="K64" s="55" t="s">
        <v>444</v>
      </c>
      <c r="L64" s="36">
        <v>0</v>
      </c>
      <c r="M64" s="39">
        <f t="shared" ref="M64:M67" si="6">IFERROR(J64/(_xlfn.XLOOKUP(K64,$S$33:$S$37,$R$33:$R$37))*L64,0)</f>
        <v>0</v>
      </c>
      <c r="O64" s="2"/>
      <c r="U64" s="149">
        <v>0</v>
      </c>
      <c r="V64" s="269">
        <v>40</v>
      </c>
      <c r="W64" s="269"/>
      <c r="X64" s="149">
        <v>225</v>
      </c>
    </row>
    <row r="65" spans="1:25" ht="16.5" customHeight="1" x14ac:dyDescent="0.3">
      <c r="G65" s="21"/>
      <c r="I65" s="10" t="s">
        <v>70</v>
      </c>
      <c r="J65" s="35">
        <v>0</v>
      </c>
      <c r="K65" s="55" t="s">
        <v>444</v>
      </c>
      <c r="L65" s="36">
        <v>0</v>
      </c>
      <c r="M65" s="39">
        <f t="shared" si="6"/>
        <v>0</v>
      </c>
      <c r="O65" s="2"/>
    </row>
    <row r="66" spans="1:25" ht="16.5" customHeight="1" x14ac:dyDescent="0.3">
      <c r="A66" s="214"/>
      <c r="B66" s="149"/>
      <c r="C66" s="149"/>
      <c r="D66" s="149"/>
      <c r="E66" s="149"/>
      <c r="G66" s="21"/>
      <c r="I66" s="10" t="s">
        <v>71</v>
      </c>
      <c r="J66" s="35">
        <v>0</v>
      </c>
      <c r="K66" s="55" t="s">
        <v>444</v>
      </c>
      <c r="L66" s="36">
        <v>0</v>
      </c>
      <c r="M66" s="39">
        <f t="shared" si="6"/>
        <v>0</v>
      </c>
      <c r="O66" s="2"/>
      <c r="U66" s="224" t="s">
        <v>568</v>
      </c>
      <c r="V66" s="2"/>
      <c r="W66" s="2" t="s">
        <v>575</v>
      </c>
    </row>
    <row r="67" spans="1:25" ht="16.5" customHeight="1" x14ac:dyDescent="0.3">
      <c r="F67" s="149"/>
      <c r="G67" s="21"/>
      <c r="I67" s="10" t="s">
        <v>69</v>
      </c>
      <c r="J67" s="35">
        <v>0</v>
      </c>
      <c r="K67" s="55" t="s">
        <v>444</v>
      </c>
      <c r="L67" s="36">
        <v>0</v>
      </c>
      <c r="M67" s="39">
        <f t="shared" si="6"/>
        <v>0</v>
      </c>
      <c r="O67" s="2"/>
    </row>
    <row r="68" spans="1:25" ht="16.5" customHeight="1" x14ac:dyDescent="0.3">
      <c r="G68" s="21"/>
      <c r="I68" s="10" t="s">
        <v>524</v>
      </c>
      <c r="J68" s="35">
        <v>0</v>
      </c>
      <c r="K68" s="55" t="s">
        <v>444</v>
      </c>
      <c r="L68" s="36">
        <v>0</v>
      </c>
      <c r="M68" s="39">
        <f>IFERROR(J68/(_xlfn.XLOOKUP(K68,$S$33:$S$37,$R$33:$R$37))*L68,0)</f>
        <v>0</v>
      </c>
      <c r="O68" s="2"/>
      <c r="U68" s="257" t="s">
        <v>596</v>
      </c>
      <c r="V68" s="257"/>
      <c r="W68" s="257"/>
      <c r="X68" s="257"/>
      <c r="Y68" s="257"/>
    </row>
    <row r="69" spans="1:25" ht="16.5" customHeight="1" x14ac:dyDescent="0.3">
      <c r="G69" s="21"/>
      <c r="I69" s="67" t="s">
        <v>525</v>
      </c>
      <c r="J69" s="35">
        <v>0</v>
      </c>
      <c r="K69" s="55" t="s">
        <v>444</v>
      </c>
      <c r="L69" s="36">
        <v>0</v>
      </c>
      <c r="M69" s="39">
        <f t="shared" ref="M69" si="7">IFERROR(J69/(_xlfn.XLOOKUP(K69,$S$33:$S$37,$R$33:$R$37))*L69,0)</f>
        <v>0</v>
      </c>
      <c r="O69" s="2"/>
      <c r="U69" s="257"/>
      <c r="V69" s="257"/>
      <c r="W69" s="257"/>
      <c r="X69" s="257"/>
      <c r="Y69" s="257"/>
    </row>
    <row r="70" spans="1:25" ht="16.5" customHeight="1" x14ac:dyDescent="0.3">
      <c r="G70" s="21"/>
      <c r="O70" s="2"/>
      <c r="U70" s="257"/>
      <c r="V70" s="257"/>
      <c r="W70" s="257"/>
      <c r="X70" s="257"/>
      <c r="Y70" s="257"/>
    </row>
    <row r="71" spans="1:25" ht="16.5" customHeight="1" x14ac:dyDescent="0.3">
      <c r="G71" s="21"/>
      <c r="I71" s="135" t="s">
        <v>593</v>
      </c>
      <c r="J71" s="135" t="s">
        <v>594</v>
      </c>
      <c r="K71" s="165"/>
      <c r="L71" s="135" t="s">
        <v>595</v>
      </c>
      <c r="M71" s="95" t="s">
        <v>407</v>
      </c>
    </row>
    <row r="72" spans="1:25" ht="16.5" customHeight="1" x14ac:dyDescent="0.3">
      <c r="G72" s="21"/>
      <c r="I72" s="120" t="s">
        <v>597</v>
      </c>
      <c r="J72" s="35">
        <v>6.65</v>
      </c>
      <c r="K72" s="37"/>
      <c r="L72" s="36">
        <v>1</v>
      </c>
      <c r="M72" s="39">
        <f>J72*L72</f>
        <v>6.65</v>
      </c>
    </row>
    <row r="73" spans="1:25" ht="16.5" customHeight="1" x14ac:dyDescent="0.3">
      <c r="G73" s="21"/>
      <c r="I73" s="120" t="s">
        <v>168</v>
      </c>
      <c r="J73" s="35">
        <v>10</v>
      </c>
      <c r="K73" s="37"/>
      <c r="L73" s="36">
        <v>0</v>
      </c>
      <c r="M73" s="39">
        <f>J73*L73</f>
        <v>0</v>
      </c>
    </row>
    <row r="74" spans="1:25" ht="16.5" customHeight="1" x14ac:dyDescent="0.3">
      <c r="G74" s="21"/>
    </row>
    <row r="75" spans="1:25" ht="16.5" customHeight="1" x14ac:dyDescent="0.3">
      <c r="G75" s="21"/>
      <c r="L75" s="155" t="s">
        <v>434</v>
      </c>
      <c r="M75" s="156">
        <f>SUM(M42:M73)</f>
        <v>38.748750000000001</v>
      </c>
    </row>
    <row r="76" spans="1:25" ht="16.5" customHeight="1" x14ac:dyDescent="0.3">
      <c r="G76" s="21"/>
      <c r="N76" s="44"/>
    </row>
    <row r="77" spans="1:25" ht="16.5" customHeight="1" x14ac:dyDescent="0.3">
      <c r="G77" s="21"/>
      <c r="N77" s="37"/>
    </row>
    <row r="78" spans="1:25" ht="16.5" customHeight="1" x14ac:dyDescent="0.3">
      <c r="G78" s="21"/>
    </row>
    <row r="79" spans="1:25" ht="16.5" customHeight="1" x14ac:dyDescent="0.3">
      <c r="G79" s="21"/>
    </row>
    <row r="80" spans="1:25" ht="16.5" customHeight="1" x14ac:dyDescent="0.3">
      <c r="G80" s="21"/>
    </row>
    <row r="81" spans="7:13" ht="16.5" customHeight="1" x14ac:dyDescent="0.3">
      <c r="G81" s="21"/>
      <c r="I81" s="44"/>
      <c r="J81" s="44"/>
      <c r="K81" s="44"/>
      <c r="L81" s="44"/>
      <c r="M81" s="44"/>
    </row>
    <row r="82" spans="7:13" ht="16.5" customHeight="1" x14ac:dyDescent="0.3">
      <c r="G82" s="21"/>
      <c r="I82" s="44"/>
      <c r="J82" s="44"/>
      <c r="K82" s="44"/>
      <c r="L82" s="44"/>
      <c r="M82" s="44"/>
    </row>
    <row r="83" spans="7:13" ht="16.5" customHeight="1" x14ac:dyDescent="0.3">
      <c r="G83" s="21"/>
    </row>
    <row r="84" spans="7:13" ht="16.5" customHeight="1" x14ac:dyDescent="0.3">
      <c r="G84" s="21"/>
    </row>
    <row r="85" spans="7:13" ht="16.5" customHeight="1" x14ac:dyDescent="0.3">
      <c r="G85" s="21"/>
    </row>
    <row r="86" spans="7:13" ht="16.5" customHeight="1" x14ac:dyDescent="0.3">
      <c r="G86" s="21"/>
    </row>
    <row r="87" spans="7:13" ht="16.5" customHeight="1" x14ac:dyDescent="0.3">
      <c r="G87" s="21"/>
    </row>
    <row r="88" spans="7:13" ht="16.5" customHeight="1" x14ac:dyDescent="0.3">
      <c r="G88" s="21"/>
    </row>
    <row r="89" spans="7:13" ht="16.5" customHeight="1" x14ac:dyDescent="0.3">
      <c r="G89" s="21"/>
    </row>
    <row r="90" spans="7:13" ht="16.5" customHeight="1" x14ac:dyDescent="0.3">
      <c r="G90" s="21"/>
    </row>
    <row r="91" spans="7:13" ht="16.5" customHeight="1" x14ac:dyDescent="0.3">
      <c r="G91" s="21"/>
    </row>
    <row r="92" spans="7:13" ht="16.5" customHeight="1" x14ac:dyDescent="0.3">
      <c r="G92" s="21"/>
    </row>
    <row r="93" spans="7:13" ht="16.5" customHeight="1" x14ac:dyDescent="0.3">
      <c r="G93" s="21"/>
    </row>
    <row r="94" spans="7:13" ht="16.5" customHeight="1" x14ac:dyDescent="0.3">
      <c r="G94" s="21"/>
    </row>
    <row r="95" spans="7:13" ht="16.5" customHeight="1" x14ac:dyDescent="0.3">
      <c r="G95" s="21"/>
    </row>
    <row r="96" spans="7:13"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5"/>
    </row>
    <row r="110" spans="7:7" ht="16.5" hidden="1" customHeight="1" x14ac:dyDescent="0.3">
      <c r="G110" s="215"/>
    </row>
    <row r="111" spans="7:7" ht="8.1" hidden="1" customHeight="1" x14ac:dyDescent="0.3">
      <c r="G111" s="215"/>
    </row>
    <row r="112" spans="7:7" ht="16.5" hidden="1" customHeight="1" x14ac:dyDescent="0.3">
      <c r="G112" s="215"/>
    </row>
    <row r="113" spans="1:7" ht="16.5" hidden="1" customHeight="1" x14ac:dyDescent="0.3">
      <c r="G113" s="215"/>
    </row>
    <row r="114" spans="1:7" ht="16.5" hidden="1" customHeight="1" x14ac:dyDescent="0.3">
      <c r="G114" s="215"/>
    </row>
    <row r="115" spans="1:7" ht="6.75" hidden="1" customHeight="1" x14ac:dyDescent="0.3">
      <c r="G115" s="216"/>
    </row>
    <row r="116" spans="1:7" ht="16.5" hidden="1" customHeight="1" x14ac:dyDescent="0.3">
      <c r="G116" s="216"/>
    </row>
    <row r="117" spans="1:7" ht="16.5" hidden="1" customHeight="1" x14ac:dyDescent="0.3">
      <c r="G117" s="216"/>
    </row>
    <row r="118" spans="1:7" ht="16.5" hidden="1" customHeight="1" x14ac:dyDescent="0.35">
      <c r="A118" s="217"/>
      <c r="B118" s="218"/>
      <c r="C118" s="218"/>
      <c r="D118" s="218"/>
      <c r="E118" s="218"/>
      <c r="G118" s="216"/>
    </row>
    <row r="119" spans="1:7" ht="16.5" hidden="1" customHeight="1" x14ac:dyDescent="0.35">
      <c r="F119" s="218"/>
      <c r="G119" s="204"/>
    </row>
    <row r="120" spans="1:7" ht="16.5" hidden="1" customHeight="1" x14ac:dyDescent="0.3">
      <c r="G120" s="219"/>
    </row>
    <row r="121" spans="1:7" ht="16.5" hidden="1" customHeight="1" x14ac:dyDescent="0.3">
      <c r="G121" s="204"/>
    </row>
    <row r="122" spans="1:7" ht="16.5" hidden="1" customHeight="1" x14ac:dyDescent="0.3">
      <c r="G122" s="220"/>
    </row>
    <row r="123" spans="1:7" ht="16.5" hidden="1" customHeight="1" x14ac:dyDescent="0.3">
      <c r="G123" s="221"/>
    </row>
    <row r="124" spans="1:7" ht="16.5" hidden="1" customHeight="1" x14ac:dyDescent="0.3">
      <c r="G124" s="222"/>
    </row>
    <row r="125" spans="1:7" ht="16.5" hidden="1" customHeight="1" x14ac:dyDescent="0.3">
      <c r="G125" s="221"/>
    </row>
    <row r="126" spans="1:7" ht="16.5" hidden="1" customHeight="1" x14ac:dyDescent="0.3">
      <c r="G126" s="222"/>
    </row>
    <row r="127" spans="1:7" ht="16.5" hidden="1" customHeight="1" x14ac:dyDescent="0.3">
      <c r="G127" s="223"/>
    </row>
    <row r="128" spans="1:7" ht="16.5" hidden="1" customHeight="1" x14ac:dyDescent="0.3">
      <c r="G128" s="216"/>
    </row>
    <row r="129" spans="7:7" ht="18.75" hidden="1" customHeight="1" x14ac:dyDescent="0.3">
      <c r="G129" s="68"/>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9"/>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spans="9:13" s="213" customFormat="1" hidden="1" x14ac:dyDescent="0.3">
      <c r="I145" s="10"/>
      <c r="J145" s="10"/>
      <c r="K145" s="10"/>
      <c r="L145" s="10"/>
      <c r="M145" s="10"/>
    </row>
    <row r="146" spans="9:13" s="213" customFormat="1" hidden="1" x14ac:dyDescent="0.3">
      <c r="I146" s="10"/>
      <c r="J146" s="10"/>
      <c r="K146" s="10"/>
      <c r="L146" s="10"/>
      <c r="M146" s="10"/>
    </row>
    <row r="147" spans="9:13" s="213" customFormat="1" hidden="1" x14ac:dyDescent="0.3">
      <c r="I147" s="10"/>
      <c r="J147" s="10"/>
      <c r="K147" s="10"/>
      <c r="L147" s="10"/>
      <c r="M147" s="10"/>
    </row>
    <row r="148" spans="9:13" s="213" customFormat="1" hidden="1" x14ac:dyDescent="0.3"/>
    <row r="149" spans="9:13" s="213" customFormat="1" hidden="1" x14ac:dyDescent="0.3"/>
    <row r="150" spans="9:13" s="213" customFormat="1" hidden="1" x14ac:dyDescent="0.3"/>
    <row r="151" spans="9:13" s="213" customFormat="1" hidden="1" x14ac:dyDescent="0.3"/>
    <row r="152" spans="9:13" s="213" customFormat="1" hidden="1" x14ac:dyDescent="0.3"/>
    <row r="153" spans="9:13" s="213" customFormat="1" hidden="1" x14ac:dyDescent="0.3"/>
    <row r="154" spans="9:13" s="213" customFormat="1" hidden="1" x14ac:dyDescent="0.3"/>
    <row r="155" spans="9:13" s="213" customFormat="1" hidden="1" x14ac:dyDescent="0.3"/>
    <row r="156" spans="9:13" s="213" customFormat="1" hidden="1" x14ac:dyDescent="0.3"/>
    <row r="157" spans="9:13" s="213" customFormat="1" hidden="1" x14ac:dyDescent="0.3"/>
    <row r="158" spans="9:13" s="213" customFormat="1" hidden="1" x14ac:dyDescent="0.3"/>
    <row r="159" spans="9:13" s="213" customFormat="1" hidden="1" x14ac:dyDescent="0.3"/>
    <row r="160" spans="9:13" s="213" customFormat="1" hidden="1" x14ac:dyDescent="0.3"/>
    <row r="161" s="213" customFormat="1" hidden="1" x14ac:dyDescent="0.3"/>
    <row r="162" s="213" customFormat="1" hidden="1" x14ac:dyDescent="0.3"/>
    <row r="163" s="213" customFormat="1" hidden="1" x14ac:dyDescent="0.3"/>
    <row r="164" s="213" customFormat="1" hidden="1" x14ac:dyDescent="0.3"/>
    <row r="165" s="213" customFormat="1" hidden="1" x14ac:dyDescent="0.3"/>
    <row r="166" s="213" customFormat="1" hidden="1" x14ac:dyDescent="0.3"/>
    <row r="167" s="213" customFormat="1" hidden="1" x14ac:dyDescent="0.3"/>
    <row r="168" s="213" customFormat="1" hidden="1" x14ac:dyDescent="0.3"/>
    <row r="169" s="213" customFormat="1" hidden="1" x14ac:dyDescent="0.3"/>
    <row r="170" s="213" customFormat="1" hidden="1" x14ac:dyDescent="0.3"/>
    <row r="171" s="213" customFormat="1" hidden="1" x14ac:dyDescent="0.3"/>
    <row r="172" s="213" customFormat="1" hidden="1" x14ac:dyDescent="0.3"/>
    <row r="173" s="213" customFormat="1" hidden="1" x14ac:dyDescent="0.3"/>
    <row r="174" s="213" customFormat="1" hidden="1" x14ac:dyDescent="0.3"/>
    <row r="175" s="213" customFormat="1" hidden="1" x14ac:dyDescent="0.3"/>
    <row r="176" s="213" customFormat="1" hidden="1" x14ac:dyDescent="0.3"/>
    <row r="177" spans="9:13" s="213" customFormat="1" hidden="1" x14ac:dyDescent="0.3"/>
    <row r="178" spans="9:13" s="213" customFormat="1" hidden="1" x14ac:dyDescent="0.3"/>
    <row r="179" spans="9:13" s="213" customFormat="1" hidden="1" x14ac:dyDescent="0.3"/>
    <row r="180" spans="9:13" s="213" customFormat="1" hidden="1" x14ac:dyDescent="0.3"/>
    <row r="181" spans="9:13" s="213" customFormat="1" hidden="1" x14ac:dyDescent="0.3"/>
    <row r="182" spans="9:13" s="213" customFormat="1" hidden="1" x14ac:dyDescent="0.3"/>
    <row r="183" spans="9:13" s="213" customFormat="1" hidden="1" x14ac:dyDescent="0.3"/>
    <row r="184" spans="9:13" s="213" customFormat="1" hidden="1" x14ac:dyDescent="0.3"/>
    <row r="185" spans="9:13" s="213" customFormat="1" hidden="1" x14ac:dyDescent="0.3"/>
    <row r="186" spans="9:13" s="213" customFormat="1" hidden="1" x14ac:dyDescent="0.3"/>
    <row r="187" spans="9:13" s="213" customFormat="1" hidden="1" x14ac:dyDescent="0.3"/>
    <row r="188" spans="9:13" s="213" customFormat="1" hidden="1" x14ac:dyDescent="0.3"/>
    <row r="189" spans="9:13" x14ac:dyDescent="0.3">
      <c r="I189" s="213"/>
      <c r="J189" s="213"/>
      <c r="K189" s="213"/>
      <c r="L189" s="213"/>
      <c r="M189" s="213"/>
    </row>
    <row r="190" spans="9:13" x14ac:dyDescent="0.3">
      <c r="I190" s="213"/>
      <c r="J190" s="213"/>
      <c r="K190" s="213"/>
      <c r="L190" s="213"/>
      <c r="M190" s="213"/>
    </row>
    <row r="191" spans="9:13" x14ac:dyDescent="0.3">
      <c r="I191" s="213"/>
      <c r="J191" s="213"/>
      <c r="K191" s="213"/>
      <c r="L191" s="213"/>
      <c r="M191" s="213"/>
    </row>
  </sheetData>
  <sheetProtection sheet="1" objects="1" scenarios="1"/>
  <mergeCells count="21">
    <mergeCell ref="U68:Y70"/>
    <mergeCell ref="U61:X61"/>
    <mergeCell ref="V62:W62"/>
    <mergeCell ref="V63:W63"/>
    <mergeCell ref="V64:W64"/>
    <mergeCell ref="I40:M40"/>
    <mergeCell ref="I56:M56"/>
    <mergeCell ref="U26:Y27"/>
    <mergeCell ref="I38:M38"/>
    <mergeCell ref="U37:Y42"/>
    <mergeCell ref="U56:W56"/>
    <mergeCell ref="A1:F3"/>
    <mergeCell ref="I4:M4"/>
    <mergeCell ref="E5:F5"/>
    <mergeCell ref="I10:M10"/>
    <mergeCell ref="U10:Y13"/>
    <mergeCell ref="A14:A15"/>
    <mergeCell ref="B14:B15"/>
    <mergeCell ref="U15:Y15"/>
    <mergeCell ref="T2:Y2"/>
    <mergeCell ref="I35:I36"/>
  </mergeCells>
  <conditionalFormatting sqref="F19:F39">
    <cfRule type="dataBar" priority="2">
      <dataBar showValue="0">
        <cfvo type="min"/>
        <cfvo type="max"/>
        <color rgb="FF63C384"/>
      </dataBar>
      <extLst>
        <ext xmlns:x14="http://schemas.microsoft.com/office/spreadsheetml/2009/9/main" uri="{B025F937-C7B1-47D3-B67F-A62EFF666E3E}">
          <x14:id>{65C24380-5287-465B-97A0-971BC5C8EAD3}</x14:id>
        </ext>
      </extLst>
    </cfRule>
  </conditionalFormatting>
  <conditionalFormatting sqref="F44:F51">
    <cfRule type="dataBar" priority="1">
      <dataBar showValue="0">
        <cfvo type="min"/>
        <cfvo type="max"/>
        <color rgb="FF63C384"/>
      </dataBar>
      <extLst>
        <ext xmlns:x14="http://schemas.microsoft.com/office/spreadsheetml/2009/9/main" uri="{B025F937-C7B1-47D3-B67F-A62EFF666E3E}">
          <x14:id>{D6E04149-38C7-4E6C-B63E-2E64881E3E39}</x14:id>
        </ext>
      </extLst>
    </cfRule>
  </conditionalFormatting>
  <dataValidations count="1">
    <dataValidation type="list" allowBlank="1" showInputMessage="1" showErrorMessage="1" sqref="K59:K61 K48:K54 K63:K69 K43:K46" xr:uid="{C9CAB3C4-48DB-447C-B1D1-9FCC30ED160B}">
      <formula1>$S$33:$S$37</formula1>
    </dataValidation>
  </dataValidations>
  <hyperlinks>
    <hyperlink ref="U8" r:id="rId1" xr:uid="{D3625924-EF22-4D77-AF1F-6DEF56484A96}"/>
    <hyperlink ref="U5" r:id="rId2" xr:uid="{47445FEE-72B3-46AB-85B9-1A9FBE254EC8}"/>
  </hyperlinks>
  <printOptions horizontalCentered="1"/>
  <pageMargins left="0.25" right="0.25" top="0.5" bottom="0.5" header="0.5" footer="0.5"/>
  <pageSetup scale="68" orientation="portrait" r:id="rId3"/>
  <drawing r:id="rId4"/>
  <extLst>
    <ext xmlns:x14="http://schemas.microsoft.com/office/spreadsheetml/2009/9/main" uri="{78C0D931-6437-407d-A8EE-F0AAD7539E65}">
      <x14:conditionalFormattings>
        <x14:conditionalFormatting xmlns:xm="http://schemas.microsoft.com/office/excel/2006/main">
          <x14:cfRule type="dataBar" id="{65C24380-5287-465B-97A0-971BC5C8EAD3}">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D6E04149-38C7-4E6C-B63E-2E64881E3E39}">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FE54FB5-CE03-4F81-A22F-A4787AD2E061}">
          <x14:formula1>
            <xm:f>Manure!$C$7:$C$11</xm:f>
          </x14:formula1>
          <xm:sqref>Y18 Y23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C9F0-6D55-4783-95FE-F22E5EA0066A}">
  <sheetPr>
    <tabColor rgb="FF92D050"/>
    <pageSetUpPr fitToPage="1"/>
  </sheetPr>
  <dimension ref="A1:Y191"/>
  <sheetViews>
    <sheetView zoomScale="80" zoomScaleNormal="80" workbookViewId="0">
      <selection activeCell="M34" sqref="M34"/>
    </sheetView>
  </sheetViews>
  <sheetFormatPr defaultColWidth="9.140625" defaultRowHeight="18.75" x14ac:dyDescent="0.3"/>
  <cols>
    <col min="1" max="1" width="50" style="213" customWidth="1"/>
    <col min="2" max="2" width="2.42578125" style="10" customWidth="1"/>
    <col min="3" max="3" width="14.7109375" style="10" bestFit="1" customWidth="1"/>
    <col min="4" max="4" width="2.85546875" style="10" customWidth="1"/>
    <col min="5" max="5" width="14.7109375" style="10" bestFit="1"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0.7109375" style="10" bestFit="1" customWidth="1"/>
    <col min="22" max="24" width="9.28515625" style="10" bestFit="1" customWidth="1"/>
    <col min="25" max="25" width="29.28515625" style="10" bestFit="1" customWidth="1"/>
    <col min="26" max="16384" width="9.140625" style="10"/>
  </cols>
  <sheetData>
    <row r="1" spans="1:25" ht="21.75" customHeight="1" x14ac:dyDescent="0.3">
      <c r="A1" s="242" t="s">
        <v>447</v>
      </c>
      <c r="B1" s="243"/>
      <c r="C1" s="243"/>
      <c r="D1" s="243"/>
      <c r="E1" s="243"/>
      <c r="F1" s="244"/>
      <c r="G1" s="88"/>
    </row>
    <row r="2" spans="1:25" ht="15.75" customHeight="1" x14ac:dyDescent="0.3">
      <c r="A2" s="245"/>
      <c r="B2" s="246"/>
      <c r="C2" s="246"/>
      <c r="D2" s="246"/>
      <c r="E2" s="246"/>
      <c r="F2" s="247"/>
      <c r="G2" s="88"/>
      <c r="T2" s="259" t="s">
        <v>585</v>
      </c>
      <c r="U2" s="260"/>
      <c r="V2" s="260"/>
      <c r="W2" s="260"/>
      <c r="X2" s="260"/>
      <c r="Y2" s="261"/>
    </row>
    <row r="3" spans="1:25" ht="15.75" customHeight="1" thickBot="1" x14ac:dyDescent="0.35">
      <c r="A3" s="248"/>
      <c r="B3" s="249"/>
      <c r="C3" s="249"/>
      <c r="D3" s="249"/>
      <c r="E3" s="249"/>
      <c r="F3" s="250"/>
      <c r="G3" s="88"/>
    </row>
    <row r="4" spans="1:25" ht="19.5" thickBot="1" x14ac:dyDescent="0.35">
      <c r="A4" s="89"/>
      <c r="B4" s="90"/>
      <c r="C4" s="91"/>
      <c r="D4" s="91"/>
      <c r="E4" s="91"/>
      <c r="F4" s="92"/>
      <c r="G4" s="88"/>
      <c r="I4" s="259" t="s">
        <v>421</v>
      </c>
      <c r="J4" s="260"/>
      <c r="K4" s="260"/>
      <c r="L4" s="260"/>
      <c r="M4" s="261"/>
      <c r="U4" s="10" t="s">
        <v>504</v>
      </c>
    </row>
    <row r="5" spans="1:25" ht="21.75" thickBot="1" x14ac:dyDescent="0.35">
      <c r="A5" s="93"/>
      <c r="B5" s="94"/>
      <c r="C5" s="94"/>
      <c r="D5" s="94"/>
      <c r="E5" s="255" t="s">
        <v>491</v>
      </c>
      <c r="F5" s="256"/>
      <c r="G5" s="88"/>
      <c r="I5" s="95" t="s">
        <v>493</v>
      </c>
      <c r="J5" s="96" t="s">
        <v>405</v>
      </c>
      <c r="K5" s="96" t="s">
        <v>406</v>
      </c>
      <c r="L5" s="95"/>
      <c r="M5" s="95" t="s">
        <v>407</v>
      </c>
      <c r="U5" s="97" t="s">
        <v>507</v>
      </c>
    </row>
    <row r="6" spans="1:25" ht="19.5" customHeight="1" x14ac:dyDescent="0.3">
      <c r="A6" s="98" t="s">
        <v>59</v>
      </c>
      <c r="B6" s="99"/>
      <c r="D6" s="100"/>
      <c r="E6" s="101"/>
      <c r="F6" s="102"/>
      <c r="G6" s="88"/>
      <c r="I6" s="103" t="s">
        <v>60</v>
      </c>
      <c r="J6" s="103" t="s">
        <v>60</v>
      </c>
      <c r="K6" s="103" t="s">
        <v>60</v>
      </c>
      <c r="L6" s="103"/>
      <c r="M6" s="2"/>
    </row>
    <row r="7" spans="1:25" ht="16.5" customHeight="1" x14ac:dyDescent="0.3">
      <c r="A7" s="104" t="s">
        <v>290</v>
      </c>
      <c r="B7" s="105"/>
      <c r="D7" s="100"/>
      <c r="E7" s="106"/>
      <c r="F7" s="102"/>
      <c r="G7" s="88"/>
      <c r="I7" s="35">
        <v>62.86</v>
      </c>
      <c r="J7" s="36">
        <v>140000</v>
      </c>
      <c r="K7" s="36">
        <v>130000</v>
      </c>
      <c r="L7" s="103"/>
      <c r="M7" s="45">
        <f>I7/J7*K7</f>
        <v>58.370000000000005</v>
      </c>
      <c r="U7" s="10" t="s">
        <v>505</v>
      </c>
    </row>
    <row r="8" spans="1:25" ht="16.5" customHeight="1" x14ac:dyDescent="0.3">
      <c r="A8" s="107" t="s">
        <v>519</v>
      </c>
      <c r="B8" s="108"/>
      <c r="C8" s="109"/>
      <c r="D8" s="110"/>
      <c r="E8" s="69">
        <v>11.01</v>
      </c>
      <c r="F8" s="30"/>
      <c r="G8" s="111"/>
      <c r="U8" s="97" t="s">
        <v>506</v>
      </c>
    </row>
    <row r="9" spans="1:25" ht="16.5" customHeight="1" x14ac:dyDescent="0.3">
      <c r="A9" s="112" t="s">
        <v>520</v>
      </c>
      <c r="B9" s="108"/>
      <c r="C9" s="113"/>
      <c r="D9" s="114"/>
      <c r="E9" s="70">
        <v>75</v>
      </c>
      <c r="F9" s="102" t="s">
        <v>391</v>
      </c>
      <c r="G9" s="115"/>
    </row>
    <row r="10" spans="1:25" ht="16.5" customHeight="1" x14ac:dyDescent="0.3">
      <c r="A10" s="107" t="s">
        <v>54</v>
      </c>
      <c r="B10" s="108"/>
      <c r="C10" s="113"/>
      <c r="D10" s="114"/>
      <c r="E10" s="73">
        <v>1</v>
      </c>
      <c r="F10" s="102" t="s">
        <v>54</v>
      </c>
      <c r="G10" s="116"/>
      <c r="I10" s="259" t="s">
        <v>410</v>
      </c>
      <c r="J10" s="260"/>
      <c r="K10" s="260"/>
      <c r="L10" s="260"/>
      <c r="M10" s="261"/>
      <c r="U10" s="257" t="s">
        <v>527</v>
      </c>
      <c r="V10" s="258"/>
      <c r="W10" s="258"/>
      <c r="X10" s="258"/>
      <c r="Y10" s="258"/>
    </row>
    <row r="11" spans="1:25" ht="16.5" hidden="1" customHeight="1" x14ac:dyDescent="0.3">
      <c r="A11" s="107"/>
      <c r="B11" s="117"/>
      <c r="C11" s="113"/>
      <c r="D11" s="114"/>
      <c r="E11" s="118"/>
      <c r="F11" s="102"/>
      <c r="G11" s="116"/>
      <c r="U11" s="258"/>
      <c r="V11" s="258"/>
      <c r="W11" s="258"/>
      <c r="X11" s="258"/>
      <c r="Y11" s="258"/>
    </row>
    <row r="12" spans="1:25" ht="16.5" hidden="1" customHeight="1" x14ac:dyDescent="0.3">
      <c r="A12" s="119" t="s">
        <v>371</v>
      </c>
      <c r="B12" s="120"/>
      <c r="C12" s="121"/>
      <c r="D12" s="122"/>
      <c r="E12" s="123">
        <v>0</v>
      </c>
      <c r="F12" s="124"/>
      <c r="G12" s="125"/>
      <c r="U12" s="258"/>
      <c r="V12" s="258"/>
      <c r="W12" s="258"/>
      <c r="X12" s="258"/>
      <c r="Y12" s="258"/>
    </row>
    <row r="13" spans="1:25" ht="16.5" customHeight="1" x14ac:dyDescent="0.3">
      <c r="A13" s="107"/>
      <c r="B13" s="126"/>
      <c r="C13" s="127"/>
      <c r="D13" s="128"/>
      <c r="E13" s="129"/>
      <c r="F13" s="102"/>
      <c r="G13" s="116"/>
      <c r="U13" s="258"/>
      <c r="V13" s="258"/>
      <c r="W13" s="258"/>
      <c r="X13" s="258"/>
      <c r="Y13" s="258"/>
    </row>
    <row r="14" spans="1:25" ht="16.5" customHeight="1" x14ac:dyDescent="0.3">
      <c r="A14" s="251" t="s">
        <v>291</v>
      </c>
      <c r="B14" s="253"/>
      <c r="C14" s="127"/>
      <c r="D14" s="131"/>
      <c r="E14" s="132" t="s">
        <v>35</v>
      </c>
      <c r="F14" s="133"/>
      <c r="G14" s="134"/>
      <c r="I14" s="135" t="s">
        <v>427</v>
      </c>
      <c r="J14" s="135" t="s">
        <v>428</v>
      </c>
      <c r="K14" s="135" t="s">
        <v>437</v>
      </c>
      <c r="L14" s="135" t="s">
        <v>435</v>
      </c>
      <c r="M14" s="95" t="s">
        <v>407</v>
      </c>
    </row>
    <row r="15" spans="1:25" ht="16.5" customHeight="1" thickBot="1" x14ac:dyDescent="0.35">
      <c r="A15" s="252"/>
      <c r="B15" s="254"/>
      <c r="C15" s="34"/>
      <c r="D15" s="33"/>
      <c r="E15" s="24">
        <f>(E8*E9)+E12</f>
        <v>825.75</v>
      </c>
      <c r="F15" s="31"/>
      <c r="G15" s="29"/>
      <c r="I15" s="135"/>
      <c r="J15" s="103" t="s">
        <v>60</v>
      </c>
      <c r="K15" s="135"/>
      <c r="L15" s="103" t="s">
        <v>60</v>
      </c>
      <c r="M15" s="95"/>
      <c r="U15" s="264" t="s">
        <v>456</v>
      </c>
      <c r="V15" s="265"/>
      <c r="W15" s="265"/>
      <c r="X15" s="265"/>
      <c r="Y15" s="266"/>
    </row>
    <row r="16" spans="1:25" ht="16.5" customHeight="1" thickTop="1" x14ac:dyDescent="0.3">
      <c r="A16" s="107"/>
      <c r="B16" s="108"/>
      <c r="C16" s="136" t="s">
        <v>448</v>
      </c>
      <c r="D16" s="136"/>
      <c r="E16" s="137"/>
      <c r="F16" s="138"/>
      <c r="G16" s="115"/>
      <c r="I16" s="139">
        <v>0.28000000000000003</v>
      </c>
      <c r="J16" s="35">
        <v>489</v>
      </c>
      <c r="K16" s="37" t="s">
        <v>3</v>
      </c>
      <c r="L16" s="36">
        <v>0</v>
      </c>
      <c r="M16" s="39">
        <f>'Fertilizer Calculations (Base)'!J5</f>
        <v>0</v>
      </c>
      <c r="U16" s="10" t="s">
        <v>457</v>
      </c>
      <c r="Y16" s="54" t="s">
        <v>458</v>
      </c>
    </row>
    <row r="17" spans="1:25" ht="16.5" customHeight="1" x14ac:dyDescent="0.3">
      <c r="A17" s="140" t="s">
        <v>252</v>
      </c>
      <c r="B17" s="141"/>
      <c r="C17" s="142" t="s">
        <v>392</v>
      </c>
      <c r="D17" s="136"/>
      <c r="E17" s="143"/>
      <c r="F17" s="144"/>
      <c r="G17" s="115"/>
      <c r="I17" s="139" t="s">
        <v>454</v>
      </c>
      <c r="J17" s="35">
        <v>550</v>
      </c>
      <c r="K17" s="37" t="s">
        <v>3</v>
      </c>
      <c r="L17" s="36">
        <v>0</v>
      </c>
      <c r="M17" s="39">
        <f>'Fertilizer Calculations (Push)'!J6</f>
        <v>0</v>
      </c>
      <c r="T17" s="54"/>
      <c r="U17" s="37" t="s">
        <v>51</v>
      </c>
      <c r="V17" s="37" t="s">
        <v>52</v>
      </c>
      <c r="W17" s="37" t="s">
        <v>445</v>
      </c>
      <c r="X17" s="37" t="s">
        <v>53</v>
      </c>
      <c r="Y17" s="103" t="s">
        <v>484</v>
      </c>
    </row>
    <row r="18" spans="1:25" ht="16.5" customHeight="1" x14ac:dyDescent="0.3">
      <c r="A18" s="145" t="s">
        <v>372</v>
      </c>
      <c r="B18" s="141"/>
      <c r="C18" s="142" t="s">
        <v>393</v>
      </c>
      <c r="D18" s="136"/>
      <c r="E18" s="146" t="s">
        <v>35</v>
      </c>
      <c r="F18" s="147"/>
      <c r="G18" s="115"/>
      <c r="I18" s="37" t="s">
        <v>429</v>
      </c>
      <c r="J18" s="35">
        <v>823</v>
      </c>
      <c r="K18" s="37" t="s">
        <v>438</v>
      </c>
      <c r="L18" s="36">
        <v>0</v>
      </c>
      <c r="M18" s="39">
        <f>'Fertilizer Calculations (Push)'!J4</f>
        <v>0</v>
      </c>
      <c r="T18" s="103" t="s">
        <v>485</v>
      </c>
      <c r="U18" s="60">
        <v>0</v>
      </c>
      <c r="V18" s="60">
        <v>0</v>
      </c>
      <c r="W18" s="60">
        <v>0</v>
      </c>
      <c r="X18" s="60">
        <v>0</v>
      </c>
      <c r="Y18" s="61" t="s">
        <v>467</v>
      </c>
    </row>
    <row r="19" spans="1:25" ht="16.5" customHeight="1" x14ac:dyDescent="0.3">
      <c r="A19" s="130" t="s">
        <v>36</v>
      </c>
      <c r="B19" s="108"/>
      <c r="C19" s="76" t="s">
        <v>508</v>
      </c>
      <c r="D19" s="26"/>
      <c r="E19" s="148">
        <f>M7</f>
        <v>58.370000000000005</v>
      </c>
      <c r="F19" s="32">
        <f t="shared" ref="F19:F39" si="0">E19</f>
        <v>58.370000000000005</v>
      </c>
      <c r="G19" s="134"/>
      <c r="I19" s="37" t="s">
        <v>408</v>
      </c>
      <c r="J19" s="35">
        <v>841</v>
      </c>
      <c r="K19" s="37" t="s">
        <v>438</v>
      </c>
      <c r="L19" s="36">
        <v>0</v>
      </c>
      <c r="M19" s="39">
        <f>'Fertilizer Calculations (Push)'!J8+'Fertilizer Calculations (Push)'!J14</f>
        <v>0</v>
      </c>
      <c r="T19" s="149" t="s">
        <v>489</v>
      </c>
      <c r="U19" s="150">
        <f>Manure!G8</f>
        <v>0</v>
      </c>
      <c r="V19" s="150">
        <f>Manure!H8</f>
        <v>0</v>
      </c>
      <c r="W19" s="150">
        <f>Manure!I8</f>
        <v>0</v>
      </c>
      <c r="X19" s="150">
        <f>Manure!J8</f>
        <v>0</v>
      </c>
      <c r="Y19" s="10" t="s">
        <v>460</v>
      </c>
    </row>
    <row r="20" spans="1:25" ht="16.5" customHeight="1" x14ac:dyDescent="0.3">
      <c r="A20" s="107" t="s">
        <v>37</v>
      </c>
      <c r="B20" s="117"/>
      <c r="C20" s="76" t="s">
        <v>509</v>
      </c>
      <c r="D20" s="26"/>
      <c r="E20" s="148">
        <f>M33</f>
        <v>166.3845</v>
      </c>
      <c r="F20" s="32">
        <f t="shared" si="0"/>
        <v>166.3845</v>
      </c>
      <c r="G20" s="29"/>
      <c r="I20" s="37" t="s">
        <v>430</v>
      </c>
      <c r="J20" s="35">
        <v>893</v>
      </c>
      <c r="K20" s="37" t="s">
        <v>438</v>
      </c>
      <c r="L20" s="36">
        <v>0</v>
      </c>
      <c r="M20" s="39">
        <f>'Fertilizer Calculations (Push)'!J9+'Fertilizer Calculations (Push)'!J15</f>
        <v>0</v>
      </c>
    </row>
    <row r="21" spans="1:25" ht="16.5" customHeight="1" x14ac:dyDescent="0.3">
      <c r="A21" s="107" t="s">
        <v>257</v>
      </c>
      <c r="B21" s="117"/>
      <c r="C21" s="76" t="s">
        <v>510</v>
      </c>
      <c r="D21" s="26"/>
      <c r="E21" s="275">
        <f>M75</f>
        <v>113.56705000000001</v>
      </c>
      <c r="F21" s="32">
        <f t="shared" si="0"/>
        <v>113.56705000000001</v>
      </c>
      <c r="G21" s="29"/>
      <c r="I21" s="37" t="s">
        <v>499</v>
      </c>
      <c r="J21" s="35">
        <v>670</v>
      </c>
      <c r="K21" s="37" t="s">
        <v>3</v>
      </c>
      <c r="L21" s="36">
        <v>15</v>
      </c>
      <c r="M21" s="39">
        <f>'Fertilizer Calculations (Push)'!J7</f>
        <v>58.792499999999997</v>
      </c>
      <c r="U21" s="10" t="s">
        <v>461</v>
      </c>
      <c r="Y21" s="54" t="s">
        <v>458</v>
      </c>
    </row>
    <row r="22" spans="1:25" ht="16.5" customHeight="1" x14ac:dyDescent="0.3">
      <c r="A22" s="107" t="s">
        <v>41</v>
      </c>
      <c r="B22" s="108"/>
      <c r="C22" s="76" t="s">
        <v>511</v>
      </c>
      <c r="D22" s="26"/>
      <c r="E22" s="71">
        <v>20</v>
      </c>
      <c r="F22" s="32">
        <f t="shared" si="0"/>
        <v>20</v>
      </c>
      <c r="G22" s="29"/>
      <c r="I22" s="37" t="s">
        <v>409</v>
      </c>
      <c r="J22" s="35">
        <v>500</v>
      </c>
      <c r="K22" s="37" t="s">
        <v>438</v>
      </c>
      <c r="L22" s="36">
        <v>150</v>
      </c>
      <c r="M22" s="39">
        <f>'Fertilizer Calculations (Push)'!J16</f>
        <v>37.5</v>
      </c>
      <c r="O22" s="152">
        <f>J24/2000</f>
        <v>0.26950000000000002</v>
      </c>
      <c r="P22" s="152">
        <f>O22*L24</f>
        <v>15.092000000000001</v>
      </c>
      <c r="U22" s="37" t="s">
        <v>51</v>
      </c>
      <c r="V22" s="37" t="s">
        <v>52</v>
      </c>
      <c r="W22" s="37" t="s">
        <v>445</v>
      </c>
      <c r="X22" s="37" t="s">
        <v>53</v>
      </c>
      <c r="Y22" s="103" t="s">
        <v>484</v>
      </c>
    </row>
    <row r="23" spans="1:25" ht="16.5" customHeight="1" x14ac:dyDescent="0.3">
      <c r="A23" s="107" t="s">
        <v>397</v>
      </c>
      <c r="B23" s="108"/>
      <c r="C23" s="76" t="s">
        <v>398</v>
      </c>
      <c r="D23" s="26"/>
      <c r="E23" s="71">
        <v>2</v>
      </c>
      <c r="F23" s="32">
        <f t="shared" si="0"/>
        <v>2</v>
      </c>
      <c r="G23" s="29"/>
      <c r="I23" s="37" t="s">
        <v>498</v>
      </c>
      <c r="J23" s="35">
        <v>0</v>
      </c>
      <c r="K23" s="37" t="s">
        <v>438</v>
      </c>
      <c r="L23" s="36">
        <v>0</v>
      </c>
      <c r="M23" s="39">
        <f>'Fertilizer Calculations (Push)'!J17</f>
        <v>0</v>
      </c>
      <c r="O23" s="2"/>
      <c r="T23" s="103" t="s">
        <v>485</v>
      </c>
      <c r="U23" s="60">
        <v>0</v>
      </c>
      <c r="V23" s="60">
        <v>0</v>
      </c>
      <c r="W23" s="60">
        <v>0</v>
      </c>
      <c r="X23" s="60">
        <v>0</v>
      </c>
      <c r="Y23" s="61" t="s">
        <v>467</v>
      </c>
    </row>
    <row r="24" spans="1:25" ht="16.5" customHeight="1" x14ac:dyDescent="0.3">
      <c r="A24" s="107" t="s">
        <v>396</v>
      </c>
      <c r="B24" s="108"/>
      <c r="C24" s="76" t="s">
        <v>516</v>
      </c>
      <c r="D24" s="26"/>
      <c r="E24" s="71">
        <v>0</v>
      </c>
      <c r="F24" s="32">
        <f t="shared" si="0"/>
        <v>0</v>
      </c>
      <c r="G24" s="29"/>
      <c r="I24" s="37" t="s">
        <v>455</v>
      </c>
      <c r="J24" s="35">
        <v>539</v>
      </c>
      <c r="K24" s="37" t="s">
        <v>438</v>
      </c>
      <c r="L24" s="36">
        <v>56</v>
      </c>
      <c r="M24" s="40">
        <f>'Fertilizer Calculations (Push)'!J10+'Fertilizer Calculations (Push)'!J19</f>
        <v>15.091999999999999</v>
      </c>
      <c r="T24" s="153" t="s">
        <v>490</v>
      </c>
      <c r="U24" s="150">
        <f>Manure!G10</f>
        <v>0</v>
      </c>
      <c r="V24" s="150">
        <f>Manure!H10</f>
        <v>0</v>
      </c>
      <c r="W24" s="150">
        <f>Manure!I10</f>
        <v>0</v>
      </c>
      <c r="X24" s="150">
        <f>Manure!J10</f>
        <v>0</v>
      </c>
      <c r="Y24" s="10" t="s">
        <v>460</v>
      </c>
    </row>
    <row r="25" spans="1:25" ht="16.5" customHeight="1" x14ac:dyDescent="0.3">
      <c r="A25" s="107" t="s">
        <v>43</v>
      </c>
      <c r="B25" s="117"/>
      <c r="C25" s="76" t="s">
        <v>402</v>
      </c>
      <c r="D25" s="26"/>
      <c r="E25" s="72">
        <v>24</v>
      </c>
      <c r="F25" s="32">
        <f t="shared" si="0"/>
        <v>24</v>
      </c>
      <c r="G25" s="29"/>
      <c r="I25" s="37" t="s">
        <v>500</v>
      </c>
      <c r="J25" s="35">
        <v>0</v>
      </c>
      <c r="K25" s="37" t="s">
        <v>438</v>
      </c>
      <c r="L25" s="36">
        <v>0</v>
      </c>
      <c r="M25" s="39">
        <f>'Fertilizer Calculations (Push)'!J20</f>
        <v>0</v>
      </c>
    </row>
    <row r="26" spans="1:25" ht="16.5" customHeight="1" x14ac:dyDescent="0.3">
      <c r="A26" s="107" t="s">
        <v>46</v>
      </c>
      <c r="B26" s="117"/>
      <c r="C26" s="76" t="s">
        <v>403</v>
      </c>
      <c r="D26" s="26"/>
      <c r="E26" s="72">
        <v>36</v>
      </c>
      <c r="F26" s="32">
        <f t="shared" si="0"/>
        <v>36</v>
      </c>
      <c r="G26" s="29"/>
      <c r="I26" s="37" t="s">
        <v>503</v>
      </c>
      <c r="J26" s="35">
        <v>55</v>
      </c>
      <c r="K26" s="37" t="s">
        <v>488</v>
      </c>
      <c r="L26" s="36">
        <v>1</v>
      </c>
      <c r="M26" s="39">
        <f>J26*L26</f>
        <v>55</v>
      </c>
      <c r="U26" s="257" t="s">
        <v>483</v>
      </c>
      <c r="V26" s="257"/>
      <c r="W26" s="257"/>
      <c r="X26" s="257"/>
      <c r="Y26" s="257"/>
    </row>
    <row r="27" spans="1:25" ht="16.5" customHeight="1" x14ac:dyDescent="0.3">
      <c r="A27" s="107" t="s">
        <v>38</v>
      </c>
      <c r="B27" s="117"/>
      <c r="C27" s="76" t="s">
        <v>512</v>
      </c>
      <c r="D27" s="26"/>
      <c r="E27" s="72">
        <v>12</v>
      </c>
      <c r="F27" s="32">
        <f t="shared" si="0"/>
        <v>12</v>
      </c>
      <c r="G27" s="29"/>
      <c r="I27" s="37" t="s">
        <v>466</v>
      </c>
      <c r="J27" s="35">
        <v>50</v>
      </c>
      <c r="K27" s="37" t="s">
        <v>488</v>
      </c>
      <c r="L27" s="36">
        <v>0</v>
      </c>
      <c r="M27" s="39">
        <f>J27*L27</f>
        <v>0</v>
      </c>
      <c r="U27" s="257"/>
      <c r="V27" s="257"/>
      <c r="W27" s="257"/>
      <c r="X27" s="257"/>
      <c r="Y27" s="257"/>
    </row>
    <row r="28" spans="1:25" ht="16.5" customHeight="1" x14ac:dyDescent="0.3">
      <c r="A28" s="107" t="s">
        <v>390</v>
      </c>
      <c r="B28" s="108"/>
      <c r="C28" s="76" t="s">
        <v>517</v>
      </c>
      <c r="D28" s="26"/>
      <c r="E28" s="72">
        <v>5</v>
      </c>
      <c r="F28" s="32">
        <f t="shared" si="0"/>
        <v>5</v>
      </c>
      <c r="G28" s="29"/>
      <c r="I28" s="37" t="s">
        <v>486</v>
      </c>
      <c r="J28" s="35">
        <v>0.01</v>
      </c>
      <c r="K28" s="37" t="s">
        <v>487</v>
      </c>
      <c r="L28" s="65">
        <v>0</v>
      </c>
      <c r="M28" s="46">
        <f>J28*L28*1000</f>
        <v>0</v>
      </c>
    </row>
    <row r="29" spans="1:25" ht="16.5" customHeight="1" x14ac:dyDescent="0.3">
      <c r="A29" s="107" t="s">
        <v>42</v>
      </c>
      <c r="B29" s="108"/>
      <c r="C29" s="76" t="s">
        <v>404</v>
      </c>
      <c r="D29" s="26"/>
      <c r="E29" s="72">
        <v>3</v>
      </c>
      <c r="F29" s="32">
        <f t="shared" si="0"/>
        <v>3</v>
      </c>
      <c r="G29" s="29"/>
      <c r="U29" s="154" t="s">
        <v>480</v>
      </c>
      <c r="V29" s="154"/>
      <c r="W29" s="154"/>
      <c r="X29" s="154"/>
    </row>
    <row r="30" spans="1:25" ht="16.5" customHeight="1" x14ac:dyDescent="0.3">
      <c r="A30" s="107" t="s">
        <v>48</v>
      </c>
      <c r="B30" s="108"/>
      <c r="C30" s="76" t="s">
        <v>399</v>
      </c>
      <c r="D30" s="26"/>
      <c r="E30" s="71">
        <v>1</v>
      </c>
      <c r="F30" s="32">
        <f t="shared" si="0"/>
        <v>1</v>
      </c>
      <c r="G30" s="29"/>
      <c r="I30" s="135" t="s">
        <v>593</v>
      </c>
      <c r="J30" s="135" t="s">
        <v>594</v>
      </c>
      <c r="K30" s="165"/>
      <c r="L30" s="135" t="s">
        <v>595</v>
      </c>
      <c r="M30" s="95" t="s">
        <v>407</v>
      </c>
      <c r="U30" s="157" t="s">
        <v>51</v>
      </c>
      <c r="V30" s="157" t="s">
        <v>52</v>
      </c>
      <c r="W30" s="157" t="s">
        <v>445</v>
      </c>
      <c r="X30" s="157" t="s">
        <v>53</v>
      </c>
    </row>
    <row r="31" spans="1:25" ht="16.5" customHeight="1" x14ac:dyDescent="0.3">
      <c r="A31" s="107" t="s">
        <v>49</v>
      </c>
      <c r="B31" s="108"/>
      <c r="C31" s="76" t="s">
        <v>513</v>
      </c>
      <c r="D31" s="26"/>
      <c r="E31" s="72">
        <v>4</v>
      </c>
      <c r="F31" s="32">
        <f t="shared" si="0"/>
        <v>4</v>
      </c>
      <c r="G31" s="29"/>
      <c r="I31" s="37" t="s">
        <v>168</v>
      </c>
      <c r="J31" s="35">
        <v>10</v>
      </c>
      <c r="K31" s="37"/>
      <c r="L31" s="36">
        <v>0</v>
      </c>
      <c r="M31" s="39">
        <f>J31*L31</f>
        <v>0</v>
      </c>
      <c r="U31" s="157">
        <v>42</v>
      </c>
      <c r="V31" s="157">
        <v>75</v>
      </c>
      <c r="W31" s="157">
        <v>58</v>
      </c>
      <c r="X31" s="157">
        <v>8</v>
      </c>
    </row>
    <row r="32" spans="1:25" ht="16.5" customHeight="1" x14ac:dyDescent="0.3">
      <c r="A32" s="107" t="s">
        <v>368</v>
      </c>
      <c r="B32" s="108"/>
      <c r="C32" s="76" t="s">
        <v>514</v>
      </c>
      <c r="D32" s="26"/>
      <c r="E32" s="72">
        <v>14</v>
      </c>
      <c r="F32" s="32">
        <f t="shared" si="0"/>
        <v>14</v>
      </c>
      <c r="G32" s="29"/>
    </row>
    <row r="33" spans="1:25" ht="16.5" customHeight="1" x14ac:dyDescent="0.3">
      <c r="A33" s="112" t="s">
        <v>541</v>
      </c>
      <c r="B33" s="108"/>
      <c r="C33" s="76" t="s">
        <v>543</v>
      </c>
      <c r="D33" s="26"/>
      <c r="E33" s="72">
        <v>0</v>
      </c>
      <c r="F33" s="32">
        <f t="shared" si="0"/>
        <v>0</v>
      </c>
      <c r="G33" s="29"/>
      <c r="L33" s="155" t="s">
        <v>434</v>
      </c>
      <c r="M33" s="156">
        <f>SUM(M16:M31)</f>
        <v>166.3845</v>
      </c>
      <c r="R33" s="10">
        <v>0</v>
      </c>
      <c r="S33" s="10" t="s">
        <v>444</v>
      </c>
      <c r="U33" s="154" t="s">
        <v>481</v>
      </c>
      <c r="V33" s="154"/>
      <c r="W33" s="154"/>
      <c r="X33" s="154"/>
    </row>
    <row r="34" spans="1:25" ht="16.5" customHeight="1" x14ac:dyDescent="0.3">
      <c r="A34" s="112" t="s">
        <v>542</v>
      </c>
      <c r="B34" s="108"/>
      <c r="C34" s="76" t="s">
        <v>544</v>
      </c>
      <c r="D34" s="26"/>
      <c r="E34" s="72">
        <v>0</v>
      </c>
      <c r="F34" s="32">
        <f t="shared" si="0"/>
        <v>0</v>
      </c>
      <c r="G34" s="29"/>
      <c r="M34" s="156"/>
      <c r="R34" s="161">
        <v>8</v>
      </c>
      <c r="S34" s="162" t="s">
        <v>440</v>
      </c>
      <c r="T34" s="162"/>
      <c r="U34" s="157" t="s">
        <v>51</v>
      </c>
      <c r="V34" s="157" t="s">
        <v>52</v>
      </c>
      <c r="W34" s="157" t="s">
        <v>445</v>
      </c>
      <c r="X34" s="157" t="s">
        <v>53</v>
      </c>
    </row>
    <row r="35" spans="1:25" ht="16.5" customHeight="1" x14ac:dyDescent="0.3">
      <c r="A35" s="112" t="s">
        <v>479</v>
      </c>
      <c r="B35" s="108"/>
      <c r="C35" s="76" t="s">
        <v>400</v>
      </c>
      <c r="D35" s="26"/>
      <c r="E35" s="72">
        <v>7</v>
      </c>
      <c r="F35" s="32">
        <f t="shared" si="0"/>
        <v>7</v>
      </c>
      <c r="G35" s="29"/>
      <c r="I35" s="267" t="s">
        <v>591</v>
      </c>
      <c r="J35" s="158" t="s">
        <v>51</v>
      </c>
      <c r="K35" s="158" t="s">
        <v>52</v>
      </c>
      <c r="L35" s="158" t="s">
        <v>445</v>
      </c>
      <c r="M35" s="158" t="s">
        <v>53</v>
      </c>
      <c r="R35" s="161">
        <v>16</v>
      </c>
      <c r="S35" s="162" t="s">
        <v>441</v>
      </c>
      <c r="T35" s="162"/>
      <c r="U35" s="157">
        <v>43</v>
      </c>
      <c r="V35" s="157">
        <v>17</v>
      </c>
      <c r="W35" s="157">
        <v>38</v>
      </c>
      <c r="X35" s="157">
        <v>10</v>
      </c>
    </row>
    <row r="36" spans="1:25" ht="16.5" customHeight="1" x14ac:dyDescent="0.3">
      <c r="A36" s="112" t="s">
        <v>366</v>
      </c>
      <c r="B36" s="108"/>
      <c r="C36" s="76" t="s">
        <v>401</v>
      </c>
      <c r="D36" s="26"/>
      <c r="E36" s="72">
        <v>0</v>
      </c>
      <c r="F36" s="32">
        <f t="shared" si="0"/>
        <v>0</v>
      </c>
      <c r="G36" s="29"/>
      <c r="I36" s="267"/>
      <c r="J36" s="159">
        <f>'Fertilizer Calculations (Push)'!P5+(U19*L27)+(L28*U24)</f>
        <v>29.310000000000002</v>
      </c>
      <c r="K36" s="159">
        <f>'Fertilizer Calculations (Push)'!Q5+(V19*L27)+(L28*V24)</f>
        <v>59.67</v>
      </c>
      <c r="L36" s="159">
        <f>'Fertilizer Calculations (Push)'!R5+(W19*L27)+(L28*W24)</f>
        <v>90</v>
      </c>
      <c r="M36" s="159">
        <f>'Fertilizer Calculations (Push)'!S5+(X19*L27)+(L28*X24)</f>
        <v>13.44</v>
      </c>
      <c r="R36" s="161">
        <v>128</v>
      </c>
      <c r="S36" s="162" t="s">
        <v>442</v>
      </c>
      <c r="T36" s="162"/>
    </row>
    <row r="37" spans="1:25" ht="16.5" customHeight="1" x14ac:dyDescent="0.3">
      <c r="A37" s="74" t="s">
        <v>482</v>
      </c>
      <c r="B37" s="108"/>
      <c r="C37" s="76"/>
      <c r="D37" s="163"/>
      <c r="E37" s="71">
        <v>0</v>
      </c>
      <c r="F37" s="32">
        <f t="shared" si="0"/>
        <v>0</v>
      </c>
      <c r="G37" s="29"/>
      <c r="I37" s="160"/>
      <c r="J37" s="160"/>
      <c r="K37" s="150"/>
      <c r="L37" s="150"/>
      <c r="M37" s="150"/>
      <c r="N37" s="164"/>
      <c r="R37" s="10">
        <v>4</v>
      </c>
      <c r="S37" s="10" t="s">
        <v>443</v>
      </c>
      <c r="U37" s="262" t="s">
        <v>569</v>
      </c>
      <c r="V37" s="262"/>
      <c r="W37" s="262"/>
      <c r="X37" s="262"/>
      <c r="Y37" s="262"/>
    </row>
    <row r="38" spans="1:25" ht="16.5" customHeight="1" x14ac:dyDescent="0.3">
      <c r="A38" s="74" t="s">
        <v>482</v>
      </c>
      <c r="B38" s="108"/>
      <c r="C38" s="76"/>
      <c r="D38" s="163"/>
      <c r="E38" s="71">
        <v>0</v>
      </c>
      <c r="F38" s="32">
        <f t="shared" si="0"/>
        <v>0</v>
      </c>
      <c r="G38" s="29"/>
      <c r="I38" s="259" t="s">
        <v>436</v>
      </c>
      <c r="J38" s="260"/>
      <c r="K38" s="260"/>
      <c r="L38" s="260"/>
      <c r="M38" s="261"/>
      <c r="U38" s="262"/>
      <c r="V38" s="262"/>
      <c r="W38" s="262"/>
      <c r="X38" s="262"/>
      <c r="Y38" s="262"/>
    </row>
    <row r="39" spans="1:25" ht="16.5" customHeight="1" x14ac:dyDescent="0.3">
      <c r="A39" s="74" t="s">
        <v>482</v>
      </c>
      <c r="B39" s="108"/>
      <c r="C39" s="76"/>
      <c r="D39" s="163"/>
      <c r="E39" s="71">
        <v>0</v>
      </c>
      <c r="F39" s="32">
        <f t="shared" si="0"/>
        <v>0</v>
      </c>
      <c r="G39" s="29"/>
      <c r="U39" s="262"/>
      <c r="V39" s="262"/>
      <c r="W39" s="262"/>
      <c r="X39" s="262"/>
      <c r="Y39" s="262"/>
    </row>
    <row r="40" spans="1:25" ht="16.5" customHeight="1" thickBot="1" x14ac:dyDescent="0.35">
      <c r="A40" s="166" t="s">
        <v>251</v>
      </c>
      <c r="B40" s="167"/>
      <c r="C40" s="18"/>
      <c r="D40" s="22"/>
      <c r="E40" s="23">
        <f>SUM(E19:E39)</f>
        <v>466.32155</v>
      </c>
      <c r="F40" s="168"/>
      <c r="G40" s="29"/>
      <c r="I40" s="263" t="s">
        <v>522</v>
      </c>
      <c r="J40" s="263"/>
      <c r="K40" s="263"/>
      <c r="L40" s="263"/>
      <c r="M40" s="263"/>
      <c r="U40" s="262"/>
      <c r="V40" s="262"/>
      <c r="W40" s="262"/>
      <c r="X40" s="262"/>
      <c r="Y40" s="262"/>
    </row>
    <row r="41" spans="1:25" ht="16.5" customHeight="1" thickTop="1" x14ac:dyDescent="0.3">
      <c r="A41" s="169" t="s">
        <v>370</v>
      </c>
      <c r="B41" s="170"/>
      <c r="C41" s="171"/>
      <c r="D41" s="172"/>
      <c r="E41" s="173">
        <f>E15-E40</f>
        <v>359.42845</v>
      </c>
      <c r="F41" s="174"/>
      <c r="G41" s="29"/>
      <c r="I41" s="135" t="s">
        <v>427</v>
      </c>
      <c r="J41" s="135" t="s">
        <v>439</v>
      </c>
      <c r="K41" s="165" t="s">
        <v>437</v>
      </c>
      <c r="L41" s="135" t="s">
        <v>435</v>
      </c>
      <c r="M41" s="95" t="s">
        <v>407</v>
      </c>
      <c r="U41" s="262"/>
      <c r="V41" s="262"/>
      <c r="W41" s="262"/>
      <c r="X41" s="262"/>
      <c r="Y41" s="262"/>
    </row>
    <row r="42" spans="1:25" ht="16.5" customHeight="1" x14ac:dyDescent="0.3">
      <c r="A42" s="175"/>
      <c r="B42" s="141"/>
      <c r="C42" s="176"/>
      <c r="D42" s="177"/>
      <c r="E42" s="178"/>
      <c r="F42" s="138"/>
      <c r="G42" s="29"/>
      <c r="I42" s="103" t="s">
        <v>60</v>
      </c>
      <c r="J42" s="103" t="s">
        <v>60</v>
      </c>
      <c r="K42" s="103" t="s">
        <v>60</v>
      </c>
      <c r="L42" s="103" t="s">
        <v>60</v>
      </c>
      <c r="M42" s="95"/>
      <c r="U42" s="262"/>
      <c r="V42" s="262"/>
      <c r="W42" s="262"/>
      <c r="X42" s="262"/>
      <c r="Y42" s="262"/>
    </row>
    <row r="43" spans="1:25" ht="16.5" customHeight="1" x14ac:dyDescent="0.3">
      <c r="A43" s="179" t="s">
        <v>373</v>
      </c>
      <c r="B43" s="141"/>
      <c r="C43" s="176"/>
      <c r="D43" s="177"/>
      <c r="E43" s="146" t="s">
        <v>35</v>
      </c>
      <c r="F43" s="147"/>
      <c r="G43" s="29"/>
      <c r="I43" s="36" t="s">
        <v>497</v>
      </c>
      <c r="J43" s="35">
        <v>44.14</v>
      </c>
      <c r="K43" s="55" t="s">
        <v>440</v>
      </c>
      <c r="L43" s="36">
        <v>1.5</v>
      </c>
      <c r="M43" s="39">
        <f>IFERROR(J43/(_xlfn.XLOOKUP(K43,$S$33:$S$37,$R$33:$R$37))*L43,0)</f>
        <v>8.276250000000001</v>
      </c>
    </row>
    <row r="44" spans="1:25" ht="16.5" customHeight="1" x14ac:dyDescent="0.3">
      <c r="A44" s="180" t="s">
        <v>256</v>
      </c>
      <c r="B44" s="108"/>
      <c r="C44" s="76" t="s">
        <v>515</v>
      </c>
      <c r="D44" s="163"/>
      <c r="E44" s="72">
        <v>9</v>
      </c>
      <c r="F44" s="32">
        <f t="shared" ref="F44:F50" si="1">E44</f>
        <v>9</v>
      </c>
      <c r="G44" s="29"/>
      <c r="I44" s="36" t="s">
        <v>496</v>
      </c>
      <c r="J44" s="35">
        <v>63.98</v>
      </c>
      <c r="K44" s="55" t="s">
        <v>442</v>
      </c>
      <c r="L44" s="36">
        <v>24</v>
      </c>
      <c r="M44" s="39">
        <f t="shared" ref="M44" si="2">IFERROR(J44/(_xlfn.XLOOKUP(K44,$S$33:$S$37,$R$33:$R$37))*L44,0)</f>
        <v>11.99625</v>
      </c>
      <c r="U44" s="257" t="s">
        <v>596</v>
      </c>
      <c r="V44" s="257"/>
      <c r="W44" s="257"/>
      <c r="X44" s="257"/>
      <c r="Y44" s="257"/>
    </row>
    <row r="45" spans="1:25" ht="16.5" customHeight="1" x14ac:dyDescent="0.3">
      <c r="A45" s="112" t="s">
        <v>169</v>
      </c>
      <c r="B45" s="108"/>
      <c r="C45" s="76" t="s">
        <v>518</v>
      </c>
      <c r="D45" s="163"/>
      <c r="E45" s="72">
        <v>160</v>
      </c>
      <c r="F45" s="32">
        <f t="shared" si="1"/>
        <v>160</v>
      </c>
      <c r="G45" s="29"/>
      <c r="I45" s="36" t="s">
        <v>526</v>
      </c>
      <c r="J45" s="35">
        <v>31.98</v>
      </c>
      <c r="K45" s="55" t="s">
        <v>442</v>
      </c>
      <c r="L45" s="36">
        <v>20</v>
      </c>
      <c r="M45" s="39">
        <f>IFERROR(J45/(_xlfn.XLOOKUP(K45,$S$33:$S$37,$R$33:$R$37))*L45,0)</f>
        <v>4.9968750000000002</v>
      </c>
      <c r="U45" s="257"/>
      <c r="V45" s="257"/>
      <c r="W45" s="257"/>
      <c r="X45" s="257"/>
      <c r="Y45" s="257"/>
    </row>
    <row r="46" spans="1:25" ht="16.5" customHeight="1" x14ac:dyDescent="0.3">
      <c r="A46" s="112" t="s">
        <v>478</v>
      </c>
      <c r="B46" s="108"/>
      <c r="C46" s="76" t="s">
        <v>475</v>
      </c>
      <c r="D46" s="163"/>
      <c r="E46" s="72">
        <v>5</v>
      </c>
      <c r="F46" s="32">
        <f t="shared" si="1"/>
        <v>5</v>
      </c>
      <c r="G46" s="29"/>
      <c r="I46" s="36" t="s">
        <v>546</v>
      </c>
      <c r="J46" s="35">
        <v>87.98</v>
      </c>
      <c r="K46" s="55" t="s">
        <v>440</v>
      </c>
      <c r="L46" s="36">
        <v>1.33</v>
      </c>
      <c r="M46" s="39">
        <f>IFERROR(J46/(_xlfn.XLOOKUP(K46,$S$33:$S$37,$R$33:$R$37))*L46,0)</f>
        <v>14.626675000000002</v>
      </c>
      <c r="U46" s="257"/>
      <c r="V46" s="257"/>
      <c r="W46" s="257"/>
      <c r="X46" s="257"/>
      <c r="Y46" s="257"/>
    </row>
    <row r="47" spans="1:25" ht="16.5" customHeight="1" x14ac:dyDescent="0.3">
      <c r="A47" s="112" t="s">
        <v>477</v>
      </c>
      <c r="B47" s="108"/>
      <c r="C47" s="76" t="s">
        <v>476</v>
      </c>
      <c r="D47" s="163"/>
      <c r="E47" s="72">
        <v>40</v>
      </c>
      <c r="F47" s="32">
        <f t="shared" si="1"/>
        <v>40</v>
      </c>
      <c r="G47" s="29"/>
    </row>
    <row r="48" spans="1:25" ht="16.5" customHeight="1" x14ac:dyDescent="0.3">
      <c r="A48" s="112" t="s">
        <v>366</v>
      </c>
      <c r="B48" s="108"/>
      <c r="C48" s="76" t="s">
        <v>401</v>
      </c>
      <c r="D48" s="163"/>
      <c r="E48" s="71">
        <v>0</v>
      </c>
      <c r="F48" s="32">
        <f t="shared" si="1"/>
        <v>0</v>
      </c>
      <c r="G48" s="29"/>
      <c r="I48" s="10" t="s">
        <v>32</v>
      </c>
      <c r="J48" s="35">
        <v>28.86</v>
      </c>
      <c r="K48" s="55" t="s">
        <v>441</v>
      </c>
      <c r="L48" s="36">
        <v>1.5</v>
      </c>
      <c r="M48" s="39">
        <f>IFERROR(J48/(_xlfn.XLOOKUP(K48,$S$33:$S$37,$R$33:$R$37))*L48,0)</f>
        <v>2.7056249999999999</v>
      </c>
    </row>
    <row r="49" spans="1:15" ht="16.5" customHeight="1" x14ac:dyDescent="0.3">
      <c r="A49" s="74" t="s">
        <v>482</v>
      </c>
      <c r="B49" s="108"/>
      <c r="C49" s="76"/>
      <c r="D49" s="163"/>
      <c r="E49" s="71">
        <v>0</v>
      </c>
      <c r="F49" s="32">
        <f t="shared" si="1"/>
        <v>0</v>
      </c>
      <c r="G49" s="29"/>
      <c r="I49" s="10" t="s">
        <v>67</v>
      </c>
      <c r="J49" s="35">
        <v>0</v>
      </c>
      <c r="K49" s="55" t="s">
        <v>444</v>
      </c>
      <c r="L49" s="36">
        <v>0</v>
      </c>
      <c r="M49" s="39">
        <f t="shared" ref="M49:M52" si="3">IFERROR(J49/(_xlfn.XLOOKUP(K49,$S$33:$S$37,$R$33:$R$37))*L49,0)</f>
        <v>0</v>
      </c>
    </row>
    <row r="50" spans="1:15" ht="16.5" customHeight="1" x14ac:dyDescent="0.3">
      <c r="A50" s="75" t="s">
        <v>482</v>
      </c>
      <c r="B50" s="108"/>
      <c r="C50" s="76"/>
      <c r="D50" s="163"/>
      <c r="E50" s="71">
        <v>0</v>
      </c>
      <c r="F50" s="32">
        <f t="shared" si="1"/>
        <v>0</v>
      </c>
      <c r="G50" s="29"/>
      <c r="I50" s="10" t="s">
        <v>70</v>
      </c>
      <c r="J50" s="35">
        <v>0</v>
      </c>
      <c r="K50" s="55" t="s">
        <v>444</v>
      </c>
      <c r="L50" s="36">
        <v>0</v>
      </c>
      <c r="M50" s="39">
        <f t="shared" si="3"/>
        <v>0</v>
      </c>
    </row>
    <row r="51" spans="1:15" ht="16.5" customHeight="1" x14ac:dyDescent="0.3">
      <c r="A51" s="181" t="s">
        <v>375</v>
      </c>
      <c r="B51" s="182"/>
      <c r="C51" s="19"/>
      <c r="D51" s="26"/>
      <c r="E51" s="64">
        <f>SUM(E44:E50)</f>
        <v>214</v>
      </c>
      <c r="F51" s="32">
        <f>E50</f>
        <v>0</v>
      </c>
      <c r="G51" s="29"/>
      <c r="I51" s="10" t="s">
        <v>71</v>
      </c>
      <c r="J51" s="35">
        <v>0</v>
      </c>
      <c r="K51" s="55" t="s">
        <v>444</v>
      </c>
      <c r="L51" s="36">
        <v>0</v>
      </c>
      <c r="M51" s="39">
        <f t="shared" si="3"/>
        <v>0</v>
      </c>
    </row>
    <row r="52" spans="1:15" ht="16.5" customHeight="1" thickBot="1" x14ac:dyDescent="0.35">
      <c r="A52" s="183" t="s">
        <v>376</v>
      </c>
      <c r="B52" s="167"/>
      <c r="C52" s="20"/>
      <c r="D52" s="22"/>
      <c r="E52" s="25">
        <f>E40+E51</f>
        <v>680.32155</v>
      </c>
      <c r="F52" s="168"/>
      <c r="G52" s="17"/>
      <c r="I52" s="10" t="s">
        <v>69</v>
      </c>
      <c r="J52" s="35">
        <v>47.99</v>
      </c>
      <c r="K52" s="55" t="s">
        <v>443</v>
      </c>
      <c r="L52" s="36">
        <v>0.8</v>
      </c>
      <c r="M52" s="39">
        <f t="shared" si="3"/>
        <v>9.5980000000000008</v>
      </c>
    </row>
    <row r="53" spans="1:15" ht="16.5" customHeight="1" thickTop="1" x14ac:dyDescent="0.3">
      <c r="A53" s="184" t="s">
        <v>388</v>
      </c>
      <c r="B53" s="170"/>
      <c r="C53" s="185"/>
      <c r="D53" s="131"/>
      <c r="E53" s="186">
        <f>E15-E52</f>
        <v>145.42845</v>
      </c>
      <c r="F53" s="174"/>
      <c r="G53" s="17"/>
      <c r="I53" s="10" t="s">
        <v>524</v>
      </c>
      <c r="J53" s="35">
        <v>0</v>
      </c>
      <c r="K53" s="55" t="s">
        <v>444</v>
      </c>
      <c r="L53" s="36">
        <v>0</v>
      </c>
      <c r="M53" s="39">
        <f>IFERROR(J53/(_xlfn.XLOOKUP(K53,$S$33:$S$37,$R$33:$R$37))*L53,0)</f>
        <v>0</v>
      </c>
      <c r="N53" s="164"/>
    </row>
    <row r="54" spans="1:15" ht="16.5" customHeight="1" x14ac:dyDescent="0.3">
      <c r="A54" s="187"/>
      <c r="B54" s="141"/>
      <c r="C54" s="188"/>
      <c r="D54" s="188"/>
      <c r="E54" s="189"/>
      <c r="F54" s="190"/>
      <c r="G54" s="191"/>
      <c r="I54" s="67" t="s">
        <v>525</v>
      </c>
      <c r="J54" s="35">
        <v>0</v>
      </c>
      <c r="K54" s="55" t="s">
        <v>444</v>
      </c>
      <c r="L54" s="36">
        <v>0</v>
      </c>
      <c r="M54" s="39">
        <f t="shared" ref="M54" si="4">IFERROR(J54/(_xlfn.XLOOKUP(K54,$S$33:$S$37,$R$33:$R$37))*L54,0)</f>
        <v>0</v>
      </c>
    </row>
    <row r="55" spans="1:15" ht="16.5" customHeight="1" x14ac:dyDescent="0.3">
      <c r="A55" s="192" t="s">
        <v>363</v>
      </c>
      <c r="B55" s="193"/>
      <c r="C55" s="193"/>
      <c r="D55" s="193"/>
      <c r="E55" s="193"/>
      <c r="F55" s="194"/>
      <c r="G55" s="195"/>
    </row>
    <row r="56" spans="1:15" ht="16.5" customHeight="1" x14ac:dyDescent="0.3">
      <c r="A56" s="196"/>
      <c r="B56" s="197"/>
      <c r="C56" s="198"/>
      <c r="D56" s="198"/>
      <c r="E56" s="198"/>
      <c r="F56" s="199"/>
      <c r="G56" s="200"/>
      <c r="I56" s="263" t="s">
        <v>523</v>
      </c>
      <c r="J56" s="263"/>
      <c r="K56" s="263"/>
      <c r="L56" s="263"/>
      <c r="M56" s="263"/>
    </row>
    <row r="57" spans="1:15" ht="16.5" customHeight="1" x14ac:dyDescent="0.3">
      <c r="A57" s="179" t="s">
        <v>389</v>
      </c>
      <c r="B57" s="201"/>
      <c r="C57" s="198"/>
      <c r="D57" s="198"/>
      <c r="E57" s="198"/>
      <c r="F57" s="202"/>
      <c r="G57" s="17"/>
      <c r="I57" s="135" t="s">
        <v>427</v>
      </c>
      <c r="J57" s="135" t="s">
        <v>439</v>
      </c>
      <c r="K57" s="165" t="s">
        <v>437</v>
      </c>
      <c r="L57" s="135" t="s">
        <v>435</v>
      </c>
      <c r="M57" s="95" t="s">
        <v>407</v>
      </c>
    </row>
    <row r="58" spans="1:15" ht="16.5" customHeight="1" x14ac:dyDescent="0.3">
      <c r="A58" s="203" t="s">
        <v>394</v>
      </c>
      <c r="B58" s="204"/>
      <c r="C58" s="205"/>
      <c r="D58" s="205"/>
      <c r="E58" s="141">
        <f>E52/E9</f>
        <v>9.0709540000000004</v>
      </c>
      <c r="F58" s="206" t="s">
        <v>395</v>
      </c>
      <c r="G58" s="17"/>
      <c r="I58" s="103" t="s">
        <v>60</v>
      </c>
      <c r="J58" s="103" t="s">
        <v>60</v>
      </c>
      <c r="K58" s="103" t="s">
        <v>60</v>
      </c>
      <c r="L58" s="103" t="s">
        <v>60</v>
      </c>
      <c r="M58" s="95"/>
    </row>
    <row r="59" spans="1:15" ht="16.5" customHeight="1" thickBot="1" x14ac:dyDescent="0.35">
      <c r="A59" s="207" t="s">
        <v>362</v>
      </c>
      <c r="B59" s="208"/>
      <c r="C59" s="209"/>
      <c r="D59" s="209"/>
      <c r="E59" s="210">
        <f>E52/E8</f>
        <v>61.791239782016348</v>
      </c>
      <c r="F59" s="211" t="s">
        <v>446</v>
      </c>
      <c r="G59" s="17"/>
      <c r="I59" s="36" t="s">
        <v>521</v>
      </c>
      <c r="J59" s="35">
        <v>65.98</v>
      </c>
      <c r="K59" s="55" t="s">
        <v>442</v>
      </c>
      <c r="L59" s="36">
        <v>8</v>
      </c>
      <c r="M59" s="39">
        <f>IFERROR(J59/(_xlfn.XLOOKUP(K59,$S$33:$S$37,$R$33:$R$37))*L59,0)</f>
        <v>4.1237500000000002</v>
      </c>
    </row>
    <row r="60" spans="1:15" ht="16.5" customHeight="1" x14ac:dyDescent="0.3">
      <c r="A60" s="91"/>
      <c r="B60" s="91"/>
      <c r="C60" s="91"/>
      <c r="D60" s="91"/>
      <c r="E60" s="91"/>
      <c r="F60" s="91"/>
      <c r="G60" s="17"/>
      <c r="I60" s="36" t="s">
        <v>547</v>
      </c>
      <c r="J60" s="35">
        <v>559.95000000000005</v>
      </c>
      <c r="K60" s="55" t="s">
        <v>442</v>
      </c>
      <c r="L60" s="36">
        <v>8</v>
      </c>
      <c r="M60" s="39">
        <f t="shared" ref="M60:M61" si="5">IFERROR(J60/(_xlfn.XLOOKUP(K60,$S$33:$S$37,$R$33:$R$37))*L60,0)</f>
        <v>34.996875000000003</v>
      </c>
    </row>
    <row r="61" spans="1:15" ht="16.5" customHeight="1" x14ac:dyDescent="0.3">
      <c r="A61" s="154" t="s">
        <v>449</v>
      </c>
      <c r="G61" s="17"/>
      <c r="I61" s="36" t="s">
        <v>366</v>
      </c>
      <c r="J61" s="35">
        <v>0</v>
      </c>
      <c r="K61" s="55" t="s">
        <v>444</v>
      </c>
      <c r="L61" s="36">
        <v>0</v>
      </c>
      <c r="M61" s="39">
        <f t="shared" si="5"/>
        <v>0</v>
      </c>
    </row>
    <row r="62" spans="1:15" ht="16.5" customHeight="1" x14ac:dyDescent="0.3">
      <c r="A62" s="154" t="s">
        <v>450</v>
      </c>
      <c r="G62" s="17"/>
    </row>
    <row r="63" spans="1:15" ht="16.5" customHeight="1" x14ac:dyDescent="0.3">
      <c r="A63" s="212"/>
      <c r="B63" s="154"/>
      <c r="C63" s="154"/>
      <c r="D63" s="154"/>
      <c r="E63" s="154"/>
      <c r="F63" s="154"/>
      <c r="G63" s="21"/>
      <c r="I63" s="10" t="s">
        <v>32</v>
      </c>
      <c r="J63" s="35">
        <v>0</v>
      </c>
      <c r="K63" s="55" t="s">
        <v>444</v>
      </c>
      <c r="L63" s="36">
        <v>0</v>
      </c>
      <c r="M63" s="39">
        <f>IFERROR(J63/(_xlfn.XLOOKUP(K63,$S$33:$S$37,$R$33:$R$37))*L63,0)</f>
        <v>0</v>
      </c>
    </row>
    <row r="64" spans="1:15" ht="16.5" customHeight="1" x14ac:dyDescent="0.3">
      <c r="A64" s="212"/>
      <c r="B64" s="154"/>
      <c r="C64" s="154"/>
      <c r="D64" s="154"/>
      <c r="E64" s="154"/>
      <c r="F64" s="154"/>
      <c r="G64" s="21"/>
      <c r="I64" s="10" t="s">
        <v>67</v>
      </c>
      <c r="J64" s="35">
        <v>0</v>
      </c>
      <c r="K64" s="55" t="s">
        <v>444</v>
      </c>
      <c r="L64" s="36">
        <v>0</v>
      </c>
      <c r="M64" s="39">
        <f t="shared" ref="M64:M67" si="6">IFERROR(J64/(_xlfn.XLOOKUP(K64,$S$33:$S$37,$R$33:$R$37))*L64,0)</f>
        <v>0</v>
      </c>
      <c r="O64" s="2"/>
    </row>
    <row r="65" spans="1:15" ht="16.5" customHeight="1" x14ac:dyDescent="0.3">
      <c r="G65" s="21"/>
      <c r="I65" s="10" t="s">
        <v>70</v>
      </c>
      <c r="J65" s="35">
        <v>0</v>
      </c>
      <c r="K65" s="55" t="s">
        <v>444</v>
      </c>
      <c r="L65" s="36">
        <v>0</v>
      </c>
      <c r="M65" s="39">
        <f t="shared" si="6"/>
        <v>0</v>
      </c>
      <c r="O65" s="2"/>
    </row>
    <row r="66" spans="1:15" ht="16.5" customHeight="1" x14ac:dyDescent="0.3">
      <c r="A66" s="214"/>
      <c r="B66" s="149"/>
      <c r="C66" s="149"/>
      <c r="D66" s="149"/>
      <c r="E66" s="149"/>
      <c r="G66" s="21"/>
      <c r="I66" s="10" t="s">
        <v>71</v>
      </c>
      <c r="J66" s="35">
        <v>0</v>
      </c>
      <c r="K66" s="55" t="s">
        <v>444</v>
      </c>
      <c r="L66" s="36">
        <v>0</v>
      </c>
      <c r="M66" s="39">
        <f t="shared" si="6"/>
        <v>0</v>
      </c>
      <c r="O66" s="2"/>
    </row>
    <row r="67" spans="1:15" ht="16.5" customHeight="1" x14ac:dyDescent="0.3">
      <c r="F67" s="149"/>
      <c r="G67" s="21"/>
      <c r="I67" s="10" t="s">
        <v>69</v>
      </c>
      <c r="J67" s="35">
        <v>47.99</v>
      </c>
      <c r="K67" s="55" t="s">
        <v>443</v>
      </c>
      <c r="L67" s="36">
        <v>0.8</v>
      </c>
      <c r="M67" s="39">
        <f t="shared" si="6"/>
        <v>9.5980000000000008</v>
      </c>
      <c r="O67" s="2"/>
    </row>
    <row r="68" spans="1:15" ht="16.5" customHeight="1" x14ac:dyDescent="0.3">
      <c r="G68" s="21"/>
      <c r="I68" s="10" t="s">
        <v>524</v>
      </c>
      <c r="J68" s="35">
        <v>0</v>
      </c>
      <c r="K68" s="55" t="s">
        <v>444</v>
      </c>
      <c r="L68" s="36">
        <v>0</v>
      </c>
      <c r="M68" s="39">
        <f>IFERROR(J68/(_xlfn.XLOOKUP(K68,$S$33:$S$37,$R$33:$R$37))*L68,0)</f>
        <v>0</v>
      </c>
      <c r="O68" s="2"/>
    </row>
    <row r="69" spans="1:15" ht="16.5" customHeight="1" x14ac:dyDescent="0.3">
      <c r="G69" s="21"/>
      <c r="I69" s="67" t="s">
        <v>548</v>
      </c>
      <c r="J69" s="35">
        <v>47.99</v>
      </c>
      <c r="K69" s="55" t="s">
        <v>440</v>
      </c>
      <c r="L69" s="36">
        <v>1</v>
      </c>
      <c r="M69" s="39">
        <f t="shared" ref="M69" si="7">IFERROR(J69/(_xlfn.XLOOKUP(K69,$S$33:$S$37,$R$33:$R$37))*L69,0)</f>
        <v>5.9987500000000002</v>
      </c>
      <c r="O69" s="2"/>
    </row>
    <row r="70" spans="1:15" ht="16.5" customHeight="1" x14ac:dyDescent="0.3">
      <c r="G70" s="21"/>
      <c r="O70" s="2"/>
    </row>
    <row r="71" spans="1:15" ht="16.5" customHeight="1" x14ac:dyDescent="0.3">
      <c r="G71" s="21"/>
      <c r="I71" s="135" t="s">
        <v>593</v>
      </c>
      <c r="J71" s="135" t="s">
        <v>594</v>
      </c>
      <c r="K71" s="165"/>
      <c r="L71" s="135" t="s">
        <v>595</v>
      </c>
      <c r="M71" s="95" t="s">
        <v>407</v>
      </c>
    </row>
    <row r="72" spans="1:15" ht="16.5" customHeight="1" x14ac:dyDescent="0.3">
      <c r="G72" s="21"/>
      <c r="I72" s="120" t="s">
        <v>597</v>
      </c>
      <c r="J72" s="35">
        <v>6.65</v>
      </c>
      <c r="K72" s="37"/>
      <c r="L72" s="36">
        <v>1</v>
      </c>
      <c r="M72" s="39">
        <f>J72*L72</f>
        <v>6.65</v>
      </c>
    </row>
    <row r="73" spans="1:15" ht="16.5" customHeight="1" x14ac:dyDescent="0.3">
      <c r="G73" s="21"/>
      <c r="I73" s="120" t="s">
        <v>168</v>
      </c>
      <c r="J73" s="35">
        <v>10</v>
      </c>
      <c r="K73" s="37"/>
      <c r="L73" s="36">
        <v>0</v>
      </c>
      <c r="M73" s="39">
        <f>J73*L73</f>
        <v>0</v>
      </c>
    </row>
    <row r="74" spans="1:15" ht="16.5" customHeight="1" x14ac:dyDescent="0.3">
      <c r="G74" s="21"/>
    </row>
    <row r="75" spans="1:15" ht="16.5" customHeight="1" x14ac:dyDescent="0.3">
      <c r="G75" s="21"/>
      <c r="L75" s="155" t="s">
        <v>434</v>
      </c>
      <c r="M75" s="156">
        <f>SUM(M42:M73)</f>
        <v>113.56705000000001</v>
      </c>
    </row>
    <row r="76" spans="1:15" ht="16.5" customHeight="1" x14ac:dyDescent="0.3">
      <c r="G76" s="21"/>
      <c r="N76" s="44"/>
    </row>
    <row r="77" spans="1:15" ht="16.5" customHeight="1" x14ac:dyDescent="0.3">
      <c r="G77" s="21"/>
      <c r="N77" s="37"/>
    </row>
    <row r="78" spans="1:15" ht="16.5" customHeight="1" x14ac:dyDescent="0.3">
      <c r="G78" s="21"/>
    </row>
    <row r="79" spans="1:15" ht="16.5" customHeight="1" x14ac:dyDescent="0.3">
      <c r="G79" s="21"/>
    </row>
    <row r="80" spans="1:15" ht="16.5" customHeight="1" x14ac:dyDescent="0.3">
      <c r="G80" s="21"/>
    </row>
    <row r="81" spans="7:13" ht="16.5" customHeight="1" x14ac:dyDescent="0.3">
      <c r="G81" s="21"/>
      <c r="I81" s="44"/>
      <c r="J81" s="44"/>
      <c r="K81" s="44"/>
      <c r="L81" s="44"/>
      <c r="M81" s="44"/>
    </row>
    <row r="82" spans="7:13" ht="16.5" customHeight="1" x14ac:dyDescent="0.3">
      <c r="G82" s="21"/>
      <c r="I82" s="44"/>
      <c r="J82" s="44"/>
      <c r="K82" s="44"/>
      <c r="L82" s="44"/>
      <c r="M82" s="44"/>
    </row>
    <row r="83" spans="7:13" ht="16.5" customHeight="1" x14ac:dyDescent="0.3">
      <c r="G83" s="21"/>
    </row>
    <row r="84" spans="7:13" ht="16.5" customHeight="1" x14ac:dyDescent="0.3">
      <c r="G84" s="21"/>
    </row>
    <row r="85" spans="7:13" ht="16.5" customHeight="1" x14ac:dyDescent="0.3">
      <c r="G85" s="21"/>
    </row>
    <row r="86" spans="7:13" ht="16.5" customHeight="1" x14ac:dyDescent="0.3">
      <c r="G86" s="21"/>
    </row>
    <row r="87" spans="7:13" ht="16.5" customHeight="1" x14ac:dyDescent="0.3">
      <c r="G87" s="21"/>
    </row>
    <row r="88" spans="7:13" ht="16.5" customHeight="1" x14ac:dyDescent="0.3">
      <c r="G88" s="21"/>
    </row>
    <row r="89" spans="7:13" ht="16.5" customHeight="1" x14ac:dyDescent="0.3">
      <c r="G89" s="21"/>
    </row>
    <row r="90" spans="7:13" ht="16.5" customHeight="1" x14ac:dyDescent="0.3">
      <c r="G90" s="21"/>
    </row>
    <row r="91" spans="7:13" ht="16.5" customHeight="1" x14ac:dyDescent="0.3">
      <c r="G91" s="21"/>
    </row>
    <row r="92" spans="7:13" ht="16.5" customHeight="1" x14ac:dyDescent="0.3">
      <c r="G92" s="21"/>
    </row>
    <row r="93" spans="7:13" ht="16.5" customHeight="1" x14ac:dyDescent="0.3">
      <c r="G93" s="21"/>
    </row>
    <row r="94" spans="7:13" ht="16.5" customHeight="1" x14ac:dyDescent="0.3">
      <c r="G94" s="21"/>
    </row>
    <row r="95" spans="7:13" ht="16.5" customHeight="1" x14ac:dyDescent="0.3">
      <c r="G95" s="21"/>
    </row>
    <row r="96" spans="7:13"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5"/>
    </row>
    <row r="110" spans="7:7" ht="16.5" hidden="1" customHeight="1" x14ac:dyDescent="0.3">
      <c r="G110" s="215"/>
    </row>
    <row r="111" spans="7:7" ht="8.1" hidden="1" customHeight="1" x14ac:dyDescent="0.3">
      <c r="G111" s="215"/>
    </row>
    <row r="112" spans="7:7" ht="16.5" hidden="1" customHeight="1" x14ac:dyDescent="0.3">
      <c r="G112" s="215"/>
    </row>
    <row r="113" spans="1:7" ht="16.5" hidden="1" customHeight="1" x14ac:dyDescent="0.3">
      <c r="G113" s="215"/>
    </row>
    <row r="114" spans="1:7" ht="16.5" hidden="1" customHeight="1" x14ac:dyDescent="0.3">
      <c r="G114" s="215"/>
    </row>
    <row r="115" spans="1:7" ht="6.75" hidden="1" customHeight="1" x14ac:dyDescent="0.3">
      <c r="G115" s="216"/>
    </row>
    <row r="116" spans="1:7" ht="16.5" hidden="1" customHeight="1" x14ac:dyDescent="0.3">
      <c r="G116" s="216"/>
    </row>
    <row r="117" spans="1:7" ht="16.5" hidden="1" customHeight="1" x14ac:dyDescent="0.3">
      <c r="G117" s="216"/>
    </row>
    <row r="118" spans="1:7" ht="16.5" hidden="1" customHeight="1" x14ac:dyDescent="0.35">
      <c r="A118" s="217"/>
      <c r="B118" s="218"/>
      <c r="C118" s="218"/>
      <c r="D118" s="218"/>
      <c r="E118" s="218"/>
      <c r="G118" s="216"/>
    </row>
    <row r="119" spans="1:7" ht="16.5" hidden="1" customHeight="1" x14ac:dyDescent="0.35">
      <c r="F119" s="218"/>
      <c r="G119" s="204"/>
    </row>
    <row r="120" spans="1:7" ht="16.5" hidden="1" customHeight="1" x14ac:dyDescent="0.3">
      <c r="G120" s="219"/>
    </row>
    <row r="121" spans="1:7" ht="16.5" hidden="1" customHeight="1" x14ac:dyDescent="0.3">
      <c r="G121" s="204"/>
    </row>
    <row r="122" spans="1:7" ht="16.5" hidden="1" customHeight="1" x14ac:dyDescent="0.3">
      <c r="G122" s="220"/>
    </row>
    <row r="123" spans="1:7" ht="16.5" hidden="1" customHeight="1" x14ac:dyDescent="0.3">
      <c r="G123" s="221"/>
    </row>
    <row r="124" spans="1:7" ht="16.5" hidden="1" customHeight="1" x14ac:dyDescent="0.3">
      <c r="G124" s="222"/>
    </row>
    <row r="125" spans="1:7" ht="16.5" hidden="1" customHeight="1" x14ac:dyDescent="0.3">
      <c r="G125" s="221"/>
    </row>
    <row r="126" spans="1:7" ht="16.5" hidden="1" customHeight="1" x14ac:dyDescent="0.3">
      <c r="G126" s="222"/>
    </row>
    <row r="127" spans="1:7" ht="16.5" hidden="1" customHeight="1" x14ac:dyDescent="0.3">
      <c r="G127" s="223"/>
    </row>
    <row r="128" spans="1:7" ht="16.5" hidden="1" customHeight="1" x14ac:dyDescent="0.3">
      <c r="G128" s="216"/>
    </row>
    <row r="129" spans="7:7" ht="18.75" hidden="1" customHeight="1" x14ac:dyDescent="0.3">
      <c r="G129" s="68"/>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9"/>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spans="9:13" s="213" customFormat="1" hidden="1" x14ac:dyDescent="0.3">
      <c r="I145" s="10"/>
      <c r="J145" s="10"/>
      <c r="K145" s="10"/>
      <c r="L145" s="10"/>
      <c r="M145" s="10"/>
    </row>
    <row r="146" spans="9:13" s="213" customFormat="1" hidden="1" x14ac:dyDescent="0.3">
      <c r="I146" s="10"/>
      <c r="J146" s="10"/>
      <c r="K146" s="10"/>
      <c r="L146" s="10"/>
      <c r="M146" s="10"/>
    </row>
    <row r="147" spans="9:13" s="213" customFormat="1" hidden="1" x14ac:dyDescent="0.3">
      <c r="I147" s="10"/>
      <c r="J147" s="10"/>
      <c r="K147" s="10"/>
      <c r="L147" s="10"/>
      <c r="M147" s="10"/>
    </row>
    <row r="148" spans="9:13" s="213" customFormat="1" hidden="1" x14ac:dyDescent="0.3"/>
    <row r="149" spans="9:13" s="213" customFormat="1" hidden="1" x14ac:dyDescent="0.3"/>
    <row r="150" spans="9:13" s="213" customFormat="1" hidden="1" x14ac:dyDescent="0.3"/>
    <row r="151" spans="9:13" s="213" customFormat="1" hidden="1" x14ac:dyDescent="0.3"/>
    <row r="152" spans="9:13" s="213" customFormat="1" hidden="1" x14ac:dyDescent="0.3"/>
    <row r="153" spans="9:13" s="213" customFormat="1" hidden="1" x14ac:dyDescent="0.3"/>
    <row r="154" spans="9:13" s="213" customFormat="1" hidden="1" x14ac:dyDescent="0.3"/>
    <row r="155" spans="9:13" s="213" customFormat="1" hidden="1" x14ac:dyDescent="0.3"/>
    <row r="156" spans="9:13" s="213" customFormat="1" hidden="1" x14ac:dyDescent="0.3"/>
    <row r="157" spans="9:13" s="213" customFormat="1" hidden="1" x14ac:dyDescent="0.3"/>
    <row r="158" spans="9:13" s="213" customFormat="1" hidden="1" x14ac:dyDescent="0.3"/>
    <row r="159" spans="9:13" s="213" customFormat="1" hidden="1" x14ac:dyDescent="0.3"/>
    <row r="160" spans="9:13" s="213" customFormat="1" hidden="1" x14ac:dyDescent="0.3"/>
    <row r="161" s="213" customFormat="1" hidden="1" x14ac:dyDescent="0.3"/>
    <row r="162" s="213" customFormat="1" hidden="1" x14ac:dyDescent="0.3"/>
    <row r="163" s="213" customFormat="1" hidden="1" x14ac:dyDescent="0.3"/>
    <row r="164" s="213" customFormat="1" hidden="1" x14ac:dyDescent="0.3"/>
    <row r="165" s="213" customFormat="1" hidden="1" x14ac:dyDescent="0.3"/>
    <row r="166" s="213" customFormat="1" hidden="1" x14ac:dyDescent="0.3"/>
    <row r="167" s="213" customFormat="1" hidden="1" x14ac:dyDescent="0.3"/>
    <row r="168" s="213" customFormat="1" hidden="1" x14ac:dyDescent="0.3"/>
    <row r="169" s="213" customFormat="1" hidden="1" x14ac:dyDescent="0.3"/>
    <row r="170" s="213" customFormat="1" hidden="1" x14ac:dyDescent="0.3"/>
    <row r="171" s="213" customFormat="1" hidden="1" x14ac:dyDescent="0.3"/>
    <row r="172" s="213" customFormat="1" hidden="1" x14ac:dyDescent="0.3"/>
    <row r="173" s="213" customFormat="1" hidden="1" x14ac:dyDescent="0.3"/>
    <row r="174" s="213" customFormat="1" hidden="1" x14ac:dyDescent="0.3"/>
    <row r="175" s="213" customFormat="1" hidden="1" x14ac:dyDescent="0.3"/>
    <row r="176" s="213" customFormat="1" hidden="1" x14ac:dyDescent="0.3"/>
    <row r="177" spans="9:13" s="213" customFormat="1" hidden="1" x14ac:dyDescent="0.3"/>
    <row r="178" spans="9:13" s="213" customFormat="1" hidden="1" x14ac:dyDescent="0.3"/>
    <row r="179" spans="9:13" s="213" customFormat="1" hidden="1" x14ac:dyDescent="0.3"/>
    <row r="180" spans="9:13" s="213" customFormat="1" hidden="1" x14ac:dyDescent="0.3"/>
    <row r="181" spans="9:13" s="213" customFormat="1" hidden="1" x14ac:dyDescent="0.3"/>
    <row r="182" spans="9:13" s="213" customFormat="1" hidden="1" x14ac:dyDescent="0.3"/>
    <row r="183" spans="9:13" s="213" customFormat="1" hidden="1" x14ac:dyDescent="0.3"/>
    <row r="184" spans="9:13" s="213" customFormat="1" hidden="1" x14ac:dyDescent="0.3"/>
    <row r="185" spans="9:13" s="213" customFormat="1" hidden="1" x14ac:dyDescent="0.3"/>
    <row r="186" spans="9:13" s="213" customFormat="1" hidden="1" x14ac:dyDescent="0.3"/>
    <row r="187" spans="9:13" s="213" customFormat="1" hidden="1" x14ac:dyDescent="0.3"/>
    <row r="188" spans="9:13" s="213" customFormat="1" hidden="1" x14ac:dyDescent="0.3"/>
    <row r="189" spans="9:13" x14ac:dyDescent="0.3">
      <c r="I189" s="213"/>
      <c r="J189" s="213"/>
      <c r="K189" s="213"/>
      <c r="L189" s="213"/>
      <c r="M189" s="213"/>
    </row>
    <row r="190" spans="9:13" x14ac:dyDescent="0.3">
      <c r="I190" s="213"/>
      <c r="J190" s="213"/>
      <c r="K190" s="213"/>
      <c r="L190" s="213"/>
      <c r="M190" s="213"/>
    </row>
    <row r="191" spans="9:13" x14ac:dyDescent="0.3">
      <c r="I191" s="213"/>
      <c r="J191" s="213"/>
      <c r="K191" s="213"/>
      <c r="L191" s="213"/>
      <c r="M191" s="213"/>
    </row>
  </sheetData>
  <sheetProtection sheet="1" objects="1" scenarios="1"/>
  <mergeCells count="16">
    <mergeCell ref="U26:Y27"/>
    <mergeCell ref="I38:M38"/>
    <mergeCell ref="U37:Y42"/>
    <mergeCell ref="I40:M40"/>
    <mergeCell ref="I56:M56"/>
    <mergeCell ref="I35:I36"/>
    <mergeCell ref="U44:Y46"/>
    <mergeCell ref="A14:A15"/>
    <mergeCell ref="B14:B15"/>
    <mergeCell ref="U15:Y15"/>
    <mergeCell ref="A1:F3"/>
    <mergeCell ref="I4:M4"/>
    <mergeCell ref="E5:F5"/>
    <mergeCell ref="I10:M10"/>
    <mergeCell ref="U10:Y13"/>
    <mergeCell ref="T2:Y2"/>
  </mergeCells>
  <conditionalFormatting sqref="F19:F39">
    <cfRule type="dataBar" priority="2">
      <dataBar showValue="0">
        <cfvo type="min"/>
        <cfvo type="max"/>
        <color rgb="FF63C384"/>
      </dataBar>
      <extLst>
        <ext xmlns:x14="http://schemas.microsoft.com/office/spreadsheetml/2009/9/main" uri="{B025F937-C7B1-47D3-B67F-A62EFF666E3E}">
          <x14:id>{0FF5D753-EFBD-4CA8-97C3-61ECC79F26D8}</x14:id>
        </ext>
      </extLst>
    </cfRule>
  </conditionalFormatting>
  <conditionalFormatting sqref="F44:F51">
    <cfRule type="dataBar" priority="1">
      <dataBar showValue="0">
        <cfvo type="min"/>
        <cfvo type="max"/>
        <color rgb="FF63C384"/>
      </dataBar>
      <extLst>
        <ext xmlns:x14="http://schemas.microsoft.com/office/spreadsheetml/2009/9/main" uri="{B025F937-C7B1-47D3-B67F-A62EFF666E3E}">
          <x14:id>{84A3E137-D25D-43F3-8CCF-5B7576073D29}</x14:id>
        </ext>
      </extLst>
    </cfRule>
  </conditionalFormatting>
  <dataValidations count="1">
    <dataValidation type="list" allowBlank="1" showInputMessage="1" showErrorMessage="1" sqref="K59:K61 K48:K54 K63:K69 K43:K46" xr:uid="{C8EB6E8F-085C-40C6-A5D7-960D3C06916C}">
      <formula1>$S$33:$S$37</formula1>
    </dataValidation>
  </dataValidations>
  <hyperlinks>
    <hyperlink ref="U8" r:id="rId1" xr:uid="{1489E82B-0254-4106-B76E-E1E2DF40FD5D}"/>
    <hyperlink ref="U5" r:id="rId2" xr:uid="{8553AF3A-33EA-402A-BAEC-2AFC4709B907}"/>
  </hyperlinks>
  <printOptions horizontalCentered="1"/>
  <pageMargins left="0.25" right="0.25" top="0.5" bottom="0.5" header="0.5" footer="0.5"/>
  <pageSetup scale="68" orientation="portrait" r:id="rId3"/>
  <drawing r:id="rId4"/>
  <extLst>
    <ext xmlns:x14="http://schemas.microsoft.com/office/spreadsheetml/2009/9/main" uri="{78C0D931-6437-407d-A8EE-F0AAD7539E65}">
      <x14:conditionalFormattings>
        <x14:conditionalFormatting xmlns:xm="http://schemas.microsoft.com/office/excel/2006/main">
          <x14:cfRule type="dataBar" id="{0FF5D753-EFBD-4CA8-97C3-61ECC79F26D8}">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84A3E137-D25D-43F3-8CCF-5B7576073D29}">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E65E184-AADA-472D-B4AF-D24865861ABF}">
          <x14:formula1>
            <xm:f>Manure!$C$7:$C$11</xm:f>
          </x14:formula1>
          <xm:sqref>Y18 Y23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4CAE-5735-4915-A91A-09D3316D0E7F}">
  <dimension ref="C5:X15"/>
  <sheetViews>
    <sheetView workbookViewId="0">
      <selection activeCell="X11" sqref="X11"/>
    </sheetView>
  </sheetViews>
  <sheetFormatPr defaultRowHeight="15" x14ac:dyDescent="0.25"/>
  <cols>
    <col min="3" max="3" width="26" bestFit="1" customWidth="1"/>
    <col min="4" max="4" width="15.85546875" bestFit="1" customWidth="1"/>
    <col min="6" max="6" width="15" bestFit="1" customWidth="1"/>
    <col min="7" max="7" width="10.42578125" bestFit="1" customWidth="1"/>
    <col min="8" max="8" width="11.42578125" bestFit="1" customWidth="1"/>
    <col min="9" max="9" width="10.140625" bestFit="1" customWidth="1"/>
    <col min="10" max="10" width="6.28515625" bestFit="1" customWidth="1"/>
  </cols>
  <sheetData>
    <row r="5" spans="3:24" x14ac:dyDescent="0.25">
      <c r="C5" s="58" t="s">
        <v>463</v>
      </c>
    </row>
    <row r="6" spans="3:24" x14ac:dyDescent="0.25">
      <c r="C6" t="s">
        <v>464</v>
      </c>
      <c r="D6" t="s">
        <v>465</v>
      </c>
      <c r="F6" t="s">
        <v>466</v>
      </c>
      <c r="M6" t="s">
        <v>466</v>
      </c>
      <c r="T6" t="s">
        <v>466</v>
      </c>
    </row>
    <row r="7" spans="3:24" x14ac:dyDescent="0.25">
      <c r="C7" s="59" t="s">
        <v>467</v>
      </c>
      <c r="D7">
        <v>1</v>
      </c>
      <c r="F7" t="s">
        <v>468</v>
      </c>
      <c r="G7" t="s">
        <v>0</v>
      </c>
      <c r="H7" t="s">
        <v>1</v>
      </c>
      <c r="I7" t="s">
        <v>416</v>
      </c>
      <c r="J7" t="s">
        <v>469</v>
      </c>
      <c r="M7" t="s">
        <v>468</v>
      </c>
      <c r="N7" t="s">
        <v>0</v>
      </c>
      <c r="O7" t="s">
        <v>1</v>
      </c>
      <c r="P7" t="s">
        <v>416</v>
      </c>
      <c r="Q7" t="s">
        <v>469</v>
      </c>
      <c r="T7" t="s">
        <v>468</v>
      </c>
      <c r="U7" t="s">
        <v>0</v>
      </c>
      <c r="V7" t="s">
        <v>1</v>
      </c>
      <c r="W7" t="s">
        <v>416</v>
      </c>
      <c r="X7" t="s">
        <v>469</v>
      </c>
    </row>
    <row r="8" spans="3:24" x14ac:dyDescent="0.25">
      <c r="C8" s="58" t="s">
        <v>459</v>
      </c>
      <c r="D8">
        <v>0.7</v>
      </c>
      <c r="F8">
        <f>_xlfn.XLOOKUP('Base Projection'!$Y$18,$C$7:$C$11,$D$7:$D$11)</f>
        <v>1</v>
      </c>
      <c r="G8">
        <f>'Base Projection'!$U$18*Manure!$F$8</f>
        <v>0</v>
      </c>
      <c r="H8">
        <f>'Base Projection'!$V$18*Manure!$F$8</f>
        <v>0</v>
      </c>
      <c r="I8">
        <f>'Base Projection'!$W$18*Manure!$F$8</f>
        <v>0</v>
      </c>
      <c r="J8">
        <f>'Base Projection'!$X$18*Manure!$F$8</f>
        <v>0</v>
      </c>
      <c r="M8">
        <f>_xlfn.XLOOKUP('Build-Up'!$Y$18,$C$7:$C$11,$D$7:$D$11)</f>
        <v>1</v>
      </c>
      <c r="N8">
        <f>'Build-Up'!$U$18*Manure!$F$8</f>
        <v>0</v>
      </c>
      <c r="O8">
        <f>'Build-Up'!$V$18*Manure!$F$8</f>
        <v>0</v>
      </c>
      <c r="P8">
        <f>'Build-Up'!$W$18*Manure!$F$8</f>
        <v>0</v>
      </c>
      <c r="Q8">
        <f>'Build-Up'!$X$18*Manure!$F$8</f>
        <v>0</v>
      </c>
      <c r="T8">
        <f>_xlfn.XLOOKUP('Push Production'!$Y$18,$C$7:$C$11,$D$7:$D$11)</f>
        <v>1</v>
      </c>
      <c r="U8">
        <f>'Push Production'!$U$18*Manure!$F$8</f>
        <v>0</v>
      </c>
      <c r="V8">
        <f>'Push Production'!$V$18*Manure!$F$8</f>
        <v>0</v>
      </c>
      <c r="W8">
        <f>'Push Production'!$W$18*Manure!$F$8</f>
        <v>0</v>
      </c>
      <c r="X8">
        <f>'Push Production'!$X$18*Manure!$F$8</f>
        <v>0</v>
      </c>
    </row>
    <row r="9" spans="3:24" x14ac:dyDescent="0.25">
      <c r="C9" s="58" t="s">
        <v>470</v>
      </c>
      <c r="D9">
        <v>0.4</v>
      </c>
      <c r="F9" t="s">
        <v>471</v>
      </c>
      <c r="M9" t="s">
        <v>471</v>
      </c>
      <c r="T9" t="s">
        <v>471</v>
      </c>
    </row>
    <row r="10" spans="3:24" x14ac:dyDescent="0.25">
      <c r="C10" s="58" t="s">
        <v>472</v>
      </c>
      <c r="D10">
        <v>0.2</v>
      </c>
      <c r="F10">
        <f>_xlfn.XLOOKUP('Base Projection'!$Y$23,$C$7:$C$11,$D$7:$D$11)</f>
        <v>1</v>
      </c>
      <c r="G10">
        <f>'Base Projection'!$U$23*$F$10</f>
        <v>0</v>
      </c>
      <c r="H10">
        <f>'Base Projection'!$V$23*$F$10</f>
        <v>0</v>
      </c>
      <c r="I10">
        <f>'Base Projection'!$W$23*$F$10</f>
        <v>0</v>
      </c>
      <c r="J10">
        <f>'Base Projection'!$X$23*$F$10</f>
        <v>0</v>
      </c>
      <c r="M10">
        <f>_xlfn.XLOOKUP('Build-Up'!$Y$23,$C$7:$C$11,$D$7:$D$11)</f>
        <v>1</v>
      </c>
      <c r="N10">
        <f>'Build-Up'!$U$23*$F$10</f>
        <v>0</v>
      </c>
      <c r="O10">
        <f>'Build-Up'!$V$23*$F$10</f>
        <v>0</v>
      </c>
      <c r="P10">
        <f>'Build-Up'!$W$23*$F$10</f>
        <v>0</v>
      </c>
      <c r="Q10">
        <f>'Build-Up'!$X$23*$F$10</f>
        <v>0</v>
      </c>
      <c r="T10">
        <f>_xlfn.XLOOKUP('Push Production'!$Y$23,$C$7:$C$11,$D$7:$D$11)</f>
        <v>1</v>
      </c>
      <c r="U10">
        <f>'Push Production'!$U$23*$F$10</f>
        <v>0</v>
      </c>
      <c r="V10">
        <f>'Push Production'!$V$23*$F$10</f>
        <v>0</v>
      </c>
      <c r="W10">
        <f>'Push Production'!$W$23*$F$10</f>
        <v>0</v>
      </c>
      <c r="X10">
        <f>'Push Production'!$X$23*$F$10</f>
        <v>0</v>
      </c>
    </row>
    <row r="11" spans="3:24" x14ac:dyDescent="0.25">
      <c r="C11" s="58" t="s">
        <v>462</v>
      </c>
      <c r="D11">
        <v>0.1</v>
      </c>
    </row>
    <row r="14" spans="3:24" ht="15.75" x14ac:dyDescent="0.25">
      <c r="F14" s="63" t="s">
        <v>473</v>
      </c>
      <c r="G14" s="63" t="s">
        <v>474</v>
      </c>
      <c r="H14" s="63" t="s">
        <v>52</v>
      </c>
      <c r="I14" s="63" t="s">
        <v>445</v>
      </c>
      <c r="J14" s="63" t="s">
        <v>53</v>
      </c>
    </row>
    <row r="15" spans="3:24" ht="15.75" x14ac:dyDescent="0.25">
      <c r="F15" s="62"/>
      <c r="G15" s="62"/>
      <c r="H15" s="62"/>
      <c r="I15" s="62"/>
      <c r="J15" s="6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70B85-E431-4AA5-8A1A-BC20399416FA}">
  <dimension ref="E2:S47"/>
  <sheetViews>
    <sheetView workbookViewId="0">
      <selection activeCell="E26" sqref="E26:J26"/>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411</v>
      </c>
      <c r="G2" s="37" t="s">
        <v>412</v>
      </c>
      <c r="H2" s="37" t="s">
        <v>432</v>
      </c>
      <c r="I2" s="37" t="s">
        <v>414</v>
      </c>
      <c r="J2" s="37" t="s">
        <v>407</v>
      </c>
      <c r="K2" s="6"/>
      <c r="L2" s="7"/>
      <c r="M2" s="7"/>
      <c r="N2" s="7"/>
      <c r="O2" s="7"/>
      <c r="P2" s="7"/>
    </row>
    <row r="3" spans="5:19" ht="18.75" x14ac:dyDescent="0.3">
      <c r="E3" s="10"/>
      <c r="F3" s="38" t="s">
        <v>60</v>
      </c>
      <c r="G3" s="38" t="s">
        <v>60</v>
      </c>
      <c r="H3" s="54" t="s">
        <v>433</v>
      </c>
      <c r="I3" s="38" t="s">
        <v>60</v>
      </c>
      <c r="J3" s="37"/>
      <c r="K3" s="2"/>
      <c r="L3" s="10"/>
      <c r="M3" s="10"/>
      <c r="N3" s="10"/>
      <c r="O3" s="10"/>
      <c r="P3" s="10"/>
    </row>
    <row r="4" spans="5:19" ht="18.75" x14ac:dyDescent="0.3">
      <c r="E4" s="10" t="s">
        <v>422</v>
      </c>
      <c r="F4" s="48">
        <v>0.46</v>
      </c>
      <c r="G4" s="50">
        <f>'Base Projection'!J18</f>
        <v>823</v>
      </c>
      <c r="H4" s="39">
        <f>G4/2000</f>
        <v>0.41149999999999998</v>
      </c>
      <c r="I4" s="48">
        <f>'Base Projection'!L18</f>
        <v>0</v>
      </c>
      <c r="J4" s="39">
        <f>I4*H4</f>
        <v>0</v>
      </c>
      <c r="K4" s="6"/>
      <c r="L4" s="2">
        <f>2000*F4</f>
        <v>920</v>
      </c>
      <c r="M4" s="7"/>
      <c r="N4" s="7"/>
      <c r="O4" s="10"/>
      <c r="P4" s="42" t="s">
        <v>492</v>
      </c>
      <c r="Q4" s="42" t="s">
        <v>52</v>
      </c>
      <c r="R4" s="42" t="s">
        <v>445</v>
      </c>
      <c r="S4" s="42" t="s">
        <v>53</v>
      </c>
    </row>
    <row r="5" spans="5:19" ht="18.75" x14ac:dyDescent="0.3">
      <c r="E5" s="10" t="s">
        <v>423</v>
      </c>
      <c r="F5" s="48">
        <v>0.28000000000000003</v>
      </c>
      <c r="G5" s="50">
        <f>'Base Projection'!J16</f>
        <v>489</v>
      </c>
      <c r="H5" s="39"/>
      <c r="I5" s="48">
        <f>'Base Projection'!L16</f>
        <v>0</v>
      </c>
      <c r="J5" s="39">
        <f>L5*'Base Projection'!L16*G5</f>
        <v>0</v>
      </c>
      <c r="K5" s="6"/>
      <c r="L5" s="2">
        <f>10.67/2000</f>
        <v>5.3350000000000003E-3</v>
      </c>
      <c r="M5" s="7"/>
      <c r="N5" s="7"/>
      <c r="O5" s="10"/>
      <c r="P5" s="56">
        <f>(I5*10.67*F5)+(I4*F4)+(I10*F10)+(F6*11.04*I6)+(I8*F8)+(I9*F9)+(I7*11.7*F7)</f>
        <v>19.68</v>
      </c>
      <c r="Q5" s="42">
        <f>(I14*F14)+(F15*I15)+(F13*11.7*I13)</f>
        <v>39.78</v>
      </c>
      <c r="R5" s="42">
        <f>(I16*F16)+(F17*I17)</f>
        <v>60</v>
      </c>
      <c r="S5" s="42">
        <f>(I19*F19)+(F18*11.04*I18)+(F20*I20)</f>
        <v>9.1199999999999992</v>
      </c>
    </row>
    <row r="6" spans="5:19" ht="18.75" x14ac:dyDescent="0.3">
      <c r="E6" s="10" t="s">
        <v>451</v>
      </c>
      <c r="F6" s="48">
        <v>0.12</v>
      </c>
      <c r="G6" s="50">
        <f>'Base Projection'!J17</f>
        <v>550</v>
      </c>
      <c r="H6" s="39">
        <f>G6/(2000*M45)</f>
        <v>0.87083333333333335</v>
      </c>
      <c r="I6" s="52">
        <f>'Base Projection'!L17</f>
        <v>0</v>
      </c>
      <c r="J6" s="39">
        <f>L6*'Base Projection'!L17*G6</f>
        <v>0</v>
      </c>
      <c r="K6" s="6"/>
      <c r="L6" s="2">
        <f>11.04/2000</f>
        <v>5.5199999999999997E-3</v>
      </c>
      <c r="M6" s="7"/>
      <c r="N6" s="7"/>
      <c r="O6" s="10"/>
      <c r="P6" s="56"/>
      <c r="Q6" s="7"/>
      <c r="R6" s="7"/>
      <c r="S6" s="7"/>
    </row>
    <row r="7" spans="5:19" ht="18.75" x14ac:dyDescent="0.3">
      <c r="E7" s="10" t="s">
        <v>494</v>
      </c>
      <c r="F7" s="48">
        <v>0.1</v>
      </c>
      <c r="G7" s="50">
        <f>'Base Projection'!J21</f>
        <v>670</v>
      </c>
      <c r="H7" s="39"/>
      <c r="I7" s="48">
        <f>'Base Projection'!L21</f>
        <v>10</v>
      </c>
      <c r="J7" s="39">
        <f>L7*'Base Projection'!L21*G7</f>
        <v>39.195</v>
      </c>
      <c r="K7" s="6"/>
      <c r="L7" s="2">
        <f>11.7/2000</f>
        <v>5.8499999999999993E-3</v>
      </c>
      <c r="M7" s="10"/>
      <c r="N7" s="10"/>
      <c r="O7" s="10"/>
      <c r="P7" s="10"/>
    </row>
    <row r="8" spans="5:19" ht="18.75" x14ac:dyDescent="0.3">
      <c r="E8" s="10" t="s">
        <v>425</v>
      </c>
      <c r="F8" s="48">
        <v>0.18</v>
      </c>
      <c r="G8" s="50">
        <f>F30</f>
        <v>148.13999999999999</v>
      </c>
      <c r="H8" s="39">
        <f>I30</f>
        <v>0.42049999999999998</v>
      </c>
      <c r="I8" s="48">
        <f>'Base Projection'!L19</f>
        <v>0</v>
      </c>
      <c r="J8" s="40">
        <f>I8*H8*M27</f>
        <v>0</v>
      </c>
      <c r="K8" s="6"/>
      <c r="L8" s="2">
        <f>2000*F14</f>
        <v>920</v>
      </c>
      <c r="M8" s="10"/>
      <c r="N8" s="10"/>
      <c r="O8" s="10"/>
      <c r="P8" s="10"/>
    </row>
    <row r="9" spans="5:19" ht="18.75" x14ac:dyDescent="0.3">
      <c r="E9" s="10" t="s">
        <v>426</v>
      </c>
      <c r="F9" s="48">
        <v>0.11</v>
      </c>
      <c r="G9" s="50">
        <f>F35</f>
        <v>90.53</v>
      </c>
      <c r="H9" s="39">
        <f>I35</f>
        <v>0.44650000000000001</v>
      </c>
      <c r="I9" s="48">
        <f>'Base Projection'!L20</f>
        <v>0</v>
      </c>
      <c r="J9" s="40">
        <f>I9*H9*M32</f>
        <v>0</v>
      </c>
      <c r="K9" s="6"/>
      <c r="L9" s="2">
        <f>2000*F15</f>
        <v>1040</v>
      </c>
      <c r="M9" s="10"/>
      <c r="N9" s="10"/>
      <c r="O9" s="10"/>
      <c r="P9" s="10"/>
    </row>
    <row r="10" spans="5:19" ht="18.75" x14ac:dyDescent="0.3">
      <c r="E10" s="10" t="s">
        <v>415</v>
      </c>
      <c r="F10" s="48">
        <v>0.21</v>
      </c>
      <c r="G10" s="50">
        <f>F42</f>
        <v>172.82999999999998</v>
      </c>
      <c r="H10" s="39">
        <f>G10/(2000*M40)</f>
        <v>0.18517499999999998</v>
      </c>
      <c r="I10" s="52">
        <f>'Base Projection'!L24</f>
        <v>38</v>
      </c>
      <c r="J10" s="41">
        <f>I10*H10*M40</f>
        <v>3.2837699999999996</v>
      </c>
      <c r="K10" s="6"/>
      <c r="L10" s="2">
        <f>2000*F10</f>
        <v>420</v>
      </c>
      <c r="M10" s="10"/>
      <c r="N10" s="10"/>
      <c r="O10" s="10"/>
      <c r="P10" s="10"/>
    </row>
    <row r="11" spans="5:19" ht="18.75" x14ac:dyDescent="0.3">
      <c r="E11" s="10"/>
      <c r="F11" s="51"/>
      <c r="G11" s="51"/>
      <c r="H11" s="37"/>
      <c r="I11" s="51"/>
      <c r="J11" s="39">
        <f>SUM(J4:J10)</f>
        <v>42.478769999999997</v>
      </c>
      <c r="K11" s="6"/>
      <c r="L11" s="2"/>
      <c r="M11" s="10"/>
      <c r="N11" s="10"/>
      <c r="O11" s="10"/>
      <c r="P11" s="10"/>
    </row>
    <row r="12" spans="5:19" ht="18.75" x14ac:dyDescent="0.3">
      <c r="E12" s="10"/>
      <c r="F12" s="51"/>
      <c r="G12" s="51"/>
      <c r="H12" s="37"/>
      <c r="I12" s="51"/>
      <c r="J12" s="39"/>
      <c r="K12" s="6"/>
      <c r="L12" s="2"/>
      <c r="M12" s="10"/>
      <c r="N12" s="10"/>
      <c r="O12" s="10"/>
      <c r="P12" s="10"/>
    </row>
    <row r="13" spans="5:19" ht="18.75" x14ac:dyDescent="0.3">
      <c r="E13" s="10" t="s">
        <v>495</v>
      </c>
      <c r="F13" s="48">
        <v>0.34</v>
      </c>
      <c r="G13" s="50">
        <f>'Base Projection'!J21</f>
        <v>670</v>
      </c>
      <c r="H13" s="39"/>
      <c r="I13" s="48">
        <f>'Base Projection'!L21</f>
        <v>10</v>
      </c>
      <c r="J13" s="39">
        <f>L13*'Base Projection'!L21*G13</f>
        <v>39.195</v>
      </c>
      <c r="K13" s="6"/>
      <c r="L13" s="2">
        <f>11.7/2000</f>
        <v>5.8499999999999993E-3</v>
      </c>
      <c r="M13" s="10"/>
      <c r="N13" s="10"/>
      <c r="O13" s="10"/>
      <c r="P13" s="10"/>
    </row>
    <row r="14" spans="5:19" ht="18.75" x14ac:dyDescent="0.3">
      <c r="E14" s="10" t="s">
        <v>424</v>
      </c>
      <c r="F14" s="48">
        <v>0.46</v>
      </c>
      <c r="G14" s="50">
        <f>G30</f>
        <v>692.86</v>
      </c>
      <c r="H14" s="39">
        <f>I30</f>
        <v>0.42049999999999998</v>
      </c>
      <c r="I14" s="48">
        <f>'Base Projection'!L19</f>
        <v>0</v>
      </c>
      <c r="J14" s="39">
        <f>I14*H14*N27</f>
        <v>0</v>
      </c>
      <c r="K14" s="6"/>
      <c r="L14" s="2">
        <f>2000*F8</f>
        <v>360</v>
      </c>
      <c r="M14" s="10"/>
      <c r="N14" s="10"/>
      <c r="O14" s="10"/>
      <c r="P14" s="10"/>
    </row>
    <row r="15" spans="5:19" ht="18.75" x14ac:dyDescent="0.3">
      <c r="E15" s="10" t="s">
        <v>431</v>
      </c>
      <c r="F15" s="48">
        <v>0.52</v>
      </c>
      <c r="G15" s="50">
        <f>G35</f>
        <v>802.47</v>
      </c>
      <c r="H15" s="39">
        <f>I35</f>
        <v>0.44650000000000001</v>
      </c>
      <c r="I15" s="48">
        <f>'Base Projection'!L20</f>
        <v>0</v>
      </c>
      <c r="J15" s="39">
        <f>I15*H15*N32</f>
        <v>0</v>
      </c>
      <c r="K15" s="6"/>
      <c r="L15" s="2">
        <f>2000*F10</f>
        <v>420</v>
      </c>
      <c r="M15" s="10"/>
      <c r="N15" s="10"/>
      <c r="O15" s="10"/>
      <c r="P15" s="10"/>
    </row>
    <row r="16" spans="5:19" ht="18.75" x14ac:dyDescent="0.3">
      <c r="E16" s="10" t="s">
        <v>416</v>
      </c>
      <c r="F16" s="52">
        <v>0.6</v>
      </c>
      <c r="G16" s="50">
        <f>'Base Projection'!J22</f>
        <v>500</v>
      </c>
      <c r="H16" s="39">
        <f>G16/2000</f>
        <v>0.25</v>
      </c>
      <c r="I16" s="48">
        <f>'Base Projection'!L22</f>
        <v>100</v>
      </c>
      <c r="J16" s="40">
        <f>I16*H16</f>
        <v>25</v>
      </c>
      <c r="K16" s="6"/>
      <c r="L16" s="2">
        <f>2000*F16</f>
        <v>1200</v>
      </c>
      <c r="M16" s="10"/>
      <c r="N16" s="10"/>
      <c r="O16" s="10"/>
      <c r="P16" s="10"/>
    </row>
    <row r="17" spans="5:16" ht="18.75" x14ac:dyDescent="0.3">
      <c r="E17" s="10" t="s">
        <v>498</v>
      </c>
      <c r="F17" s="52">
        <v>0.22</v>
      </c>
      <c r="G17" s="50">
        <f>'Base Projection'!J23</f>
        <v>0</v>
      </c>
      <c r="H17" s="39">
        <f>G17/2000</f>
        <v>0</v>
      </c>
      <c r="I17" s="48">
        <f>'Base Projection'!L23</f>
        <v>0</v>
      </c>
      <c r="J17" s="40">
        <f>I17*H17</f>
        <v>0</v>
      </c>
      <c r="K17" s="6"/>
      <c r="L17" s="2">
        <f>2000*F17</f>
        <v>440</v>
      </c>
      <c r="M17" s="10"/>
      <c r="N17" s="10"/>
      <c r="O17" s="10"/>
      <c r="P17" s="10"/>
    </row>
    <row r="18" spans="5:16" ht="18.75" x14ac:dyDescent="0.3">
      <c r="E18" s="10" t="s">
        <v>453</v>
      </c>
      <c r="F18" s="48">
        <v>0.26</v>
      </c>
      <c r="G18" s="50">
        <f>G47</f>
        <v>505.55799999999999</v>
      </c>
      <c r="H18" s="39">
        <f>G18/(2000*N44)</f>
        <v>4.8611346153846151E-4</v>
      </c>
      <c r="I18" s="52">
        <f>'Base Projection'!L17</f>
        <v>0</v>
      </c>
      <c r="J18" s="46">
        <f>I18*H18*N39</f>
        <v>0</v>
      </c>
      <c r="K18" s="6"/>
      <c r="L18" s="2">
        <f>2000*F18</f>
        <v>520</v>
      </c>
      <c r="M18" s="10"/>
      <c r="N18" s="10"/>
      <c r="O18" s="10"/>
      <c r="P18" s="10"/>
    </row>
    <row r="19" spans="5:16" ht="18.75" x14ac:dyDescent="0.3">
      <c r="E19" s="10" t="s">
        <v>452</v>
      </c>
      <c r="F19" s="48">
        <v>0.24</v>
      </c>
      <c r="G19" s="50">
        <f>G42</f>
        <v>366.17</v>
      </c>
      <c r="H19" s="39">
        <f>G19/(2000*N40)</f>
        <v>0.34328437499999997</v>
      </c>
      <c r="I19" s="52">
        <f>'Base Projection'!L24</f>
        <v>38</v>
      </c>
      <c r="J19" s="46">
        <f>I19*H19*N40</f>
        <v>6.9572299999999991</v>
      </c>
      <c r="K19" s="6"/>
      <c r="L19" s="2">
        <f>2000*F19</f>
        <v>480</v>
      </c>
      <c r="M19" s="10"/>
      <c r="N19" s="10"/>
      <c r="O19" s="10"/>
      <c r="P19" s="10"/>
    </row>
    <row r="20" spans="5:16" ht="18.75" x14ac:dyDescent="0.3">
      <c r="E20" s="10" t="s">
        <v>500</v>
      </c>
      <c r="F20" s="43">
        <v>0.17</v>
      </c>
      <c r="G20" s="50">
        <f>'Base Projection'!J25</f>
        <v>0</v>
      </c>
      <c r="H20" s="39">
        <f>G20/2000</f>
        <v>0</v>
      </c>
      <c r="I20" s="66">
        <f>'Base Projection'!L25</f>
        <v>0</v>
      </c>
      <c r="J20" s="40">
        <f>I20*H20</f>
        <v>0</v>
      </c>
      <c r="K20" s="6"/>
      <c r="L20" s="2">
        <f>2000*F20</f>
        <v>340</v>
      </c>
      <c r="M20" s="10"/>
      <c r="N20" s="10"/>
      <c r="O20" s="10"/>
      <c r="P20" s="10"/>
    </row>
    <row r="21" spans="5:16" ht="18.75" x14ac:dyDescent="0.3">
      <c r="E21" s="10"/>
      <c r="F21" s="37"/>
      <c r="G21" s="37"/>
      <c r="H21" s="37"/>
      <c r="I21" s="37"/>
      <c r="J21" s="39">
        <f>SUM(J13:J20)</f>
        <v>71.152229999999989</v>
      </c>
      <c r="K21" s="2"/>
      <c r="L21" s="10"/>
      <c r="M21" s="10"/>
      <c r="N21" s="10"/>
      <c r="O21" s="8"/>
      <c r="P21" s="8">
        <f>SUM(M26:N26)</f>
        <v>1280</v>
      </c>
    </row>
    <row r="22" spans="5:16" ht="18.75" x14ac:dyDescent="0.3">
      <c r="E22" s="10"/>
      <c r="F22" s="37"/>
      <c r="G22" s="37"/>
      <c r="H22" s="37"/>
      <c r="I22" s="8"/>
      <c r="J22" s="8"/>
      <c r="K22" s="2"/>
      <c r="L22" s="10"/>
      <c r="M22" s="10"/>
      <c r="N22" s="10"/>
      <c r="O22" s="8"/>
      <c r="P22" s="8">
        <f>SUM(M27:N27)</f>
        <v>1</v>
      </c>
    </row>
    <row r="23" spans="5:16" ht="18.75" x14ac:dyDescent="0.3">
      <c r="E23" s="10"/>
      <c r="F23" s="42"/>
      <c r="G23" s="42"/>
      <c r="H23" s="37"/>
      <c r="I23" s="43" t="s">
        <v>417</v>
      </c>
      <c r="J23" s="47">
        <f>J11+J21</f>
        <v>113.63099999999999</v>
      </c>
      <c r="K23" s="2"/>
      <c r="L23" s="10"/>
      <c r="M23" s="7"/>
      <c r="N23" s="7"/>
      <c r="O23" s="7"/>
      <c r="P23" s="7"/>
    </row>
    <row r="24" spans="5:16" ht="18.75" x14ac:dyDescent="0.3">
      <c r="E24" s="10"/>
      <c r="F24" s="37"/>
      <c r="G24" s="37"/>
      <c r="H24" s="37"/>
      <c r="I24" s="37"/>
      <c r="J24" s="37"/>
      <c r="K24" s="6"/>
      <c r="L24" s="7"/>
      <c r="M24" s="7"/>
      <c r="N24" s="7"/>
      <c r="O24" s="7"/>
      <c r="P24" s="7"/>
    </row>
    <row r="25" spans="5:16" ht="18.75" x14ac:dyDescent="0.3">
      <c r="E25" s="10"/>
      <c r="F25" s="37"/>
      <c r="G25" s="37"/>
      <c r="H25" s="37"/>
      <c r="I25" s="37"/>
      <c r="J25" s="37"/>
      <c r="K25" s="6"/>
      <c r="L25" s="7"/>
      <c r="M25" s="7"/>
      <c r="N25" s="7"/>
      <c r="O25" s="7"/>
      <c r="P25" s="7"/>
    </row>
    <row r="26" spans="5:16" ht="18.75" x14ac:dyDescent="0.3">
      <c r="E26" s="270" t="s">
        <v>418</v>
      </c>
      <c r="F26" s="271"/>
      <c r="G26" s="271"/>
      <c r="H26" s="271"/>
      <c r="I26" s="271"/>
      <c r="J26" s="272"/>
      <c r="K26" s="6"/>
      <c r="L26" s="7"/>
      <c r="M26" s="8">
        <f>2000*(F28/100)</f>
        <v>360</v>
      </c>
      <c r="N26" s="8">
        <f>2000*(G28/100)</f>
        <v>920</v>
      </c>
      <c r="O26" s="7"/>
      <c r="P26" s="7"/>
    </row>
    <row r="27" spans="5:16" ht="18.75" x14ac:dyDescent="0.3">
      <c r="E27" s="10"/>
      <c r="F27" s="37" t="s">
        <v>51</v>
      </c>
      <c r="G27" s="37" t="s">
        <v>52</v>
      </c>
      <c r="H27" s="37" t="s">
        <v>419</v>
      </c>
      <c r="I27" s="37"/>
      <c r="J27" s="37"/>
      <c r="K27" s="6"/>
      <c r="L27" s="7"/>
      <c r="M27" s="53">
        <f>M26/(M26+N26)</f>
        <v>0.28125</v>
      </c>
      <c r="N27" s="53">
        <f>N26/(M26+N26)</f>
        <v>0.71875</v>
      </c>
      <c r="O27" s="7"/>
      <c r="P27" s="7"/>
    </row>
    <row r="28" spans="5:16" ht="18.75" x14ac:dyDescent="0.3">
      <c r="E28" s="10"/>
      <c r="F28" s="48">
        <f>F8*100</f>
        <v>18</v>
      </c>
      <c r="G28" s="48">
        <f>F14*100</f>
        <v>46</v>
      </c>
      <c r="H28" s="49">
        <f>'Base Projection'!J19</f>
        <v>841</v>
      </c>
      <c r="I28" s="37"/>
      <c r="J28" s="37"/>
      <c r="K28" s="6"/>
      <c r="L28" s="7" t="s">
        <v>364</v>
      </c>
      <c r="M28" s="7"/>
      <c r="N28" s="7"/>
      <c r="O28" s="7"/>
      <c r="P28" s="7"/>
    </row>
    <row r="29" spans="5:16" ht="18.75" x14ac:dyDescent="0.3">
      <c r="E29" s="10" t="s">
        <v>413</v>
      </c>
      <c r="F29" s="50">
        <f>H4</f>
        <v>0.41149999999999998</v>
      </c>
      <c r="G29" s="28">
        <f>G30/N26</f>
        <v>0.75310869565217398</v>
      </c>
      <c r="H29" s="42"/>
      <c r="I29" s="37"/>
      <c r="J29" s="37"/>
      <c r="K29" s="6"/>
      <c r="L29" s="7" t="s">
        <v>365</v>
      </c>
      <c r="M29" s="7"/>
      <c r="N29" s="7"/>
      <c r="O29" s="7"/>
      <c r="P29" s="7"/>
    </row>
    <row r="30" spans="5:16" ht="18.75" x14ac:dyDescent="0.3">
      <c r="E30" s="10" t="s">
        <v>412</v>
      </c>
      <c r="F30" s="28">
        <f>M26*F29</f>
        <v>148.13999999999999</v>
      </c>
      <c r="G30" s="28">
        <f>H28-F30</f>
        <v>692.86</v>
      </c>
      <c r="H30" s="28">
        <f>SUM(F30:G30)</f>
        <v>841</v>
      </c>
      <c r="I30" s="57">
        <f>H30/2000</f>
        <v>0.42049999999999998</v>
      </c>
      <c r="J30" s="42"/>
      <c r="K30" s="6"/>
      <c r="L30" s="7"/>
      <c r="M30" s="7"/>
      <c r="N30" s="7"/>
      <c r="O30" s="7"/>
      <c r="P30" s="7"/>
    </row>
    <row r="31" spans="5:16" ht="18.75" x14ac:dyDescent="0.3">
      <c r="E31" s="7"/>
      <c r="F31" s="44"/>
      <c r="G31" s="44"/>
      <c r="H31" s="44"/>
      <c r="I31" s="44"/>
      <c r="J31" s="44"/>
      <c r="K31" s="6"/>
      <c r="L31" s="7"/>
      <c r="M31" s="8">
        <f>2000*(F33/100)</f>
        <v>220</v>
      </c>
      <c r="N31" s="8">
        <f>2000*(G33/100)</f>
        <v>1040</v>
      </c>
      <c r="O31" s="7"/>
      <c r="P31" s="7"/>
    </row>
    <row r="32" spans="5:16" ht="18.75" x14ac:dyDescent="0.3">
      <c r="E32" s="10"/>
      <c r="F32" s="37" t="s">
        <v>51</v>
      </c>
      <c r="G32" s="37" t="s">
        <v>52</v>
      </c>
      <c r="H32" s="37" t="s">
        <v>419</v>
      </c>
      <c r="I32" s="37"/>
      <c r="J32" s="37"/>
      <c r="K32" s="6"/>
      <c r="L32" s="7"/>
      <c r="M32" s="53">
        <f>M31/(M31+N31)</f>
        <v>0.17460317460317459</v>
      </c>
      <c r="N32" s="53">
        <f>N31/(M31+N31)</f>
        <v>0.82539682539682535</v>
      </c>
      <c r="O32" s="7"/>
      <c r="P32" s="7"/>
    </row>
    <row r="33" spans="5:16" ht="18.75" x14ac:dyDescent="0.3">
      <c r="E33" s="10"/>
      <c r="F33" s="48">
        <f>F9*100</f>
        <v>11</v>
      </c>
      <c r="G33" s="48">
        <f>F15*100</f>
        <v>52</v>
      </c>
      <c r="H33" s="49">
        <f>'Base Projection'!J20</f>
        <v>893</v>
      </c>
      <c r="I33" s="37"/>
      <c r="J33" s="37"/>
      <c r="K33" s="6"/>
      <c r="L33" s="7" t="s">
        <v>364</v>
      </c>
      <c r="M33" s="7"/>
      <c r="N33" s="7"/>
      <c r="O33" s="7"/>
      <c r="P33" s="7"/>
    </row>
    <row r="34" spans="5:16" ht="18.75" x14ac:dyDescent="0.3">
      <c r="E34" s="10" t="s">
        <v>413</v>
      </c>
      <c r="F34" s="50">
        <f>H4</f>
        <v>0.41149999999999998</v>
      </c>
      <c r="G34" s="28">
        <f>G35/N31</f>
        <v>0.77160576923076929</v>
      </c>
      <c r="H34" s="42"/>
      <c r="I34" s="37"/>
      <c r="J34" s="37"/>
      <c r="K34" s="6"/>
      <c r="L34" s="7" t="s">
        <v>365</v>
      </c>
      <c r="M34" s="7"/>
      <c r="N34" s="7"/>
      <c r="O34" s="7"/>
      <c r="P34" s="7"/>
    </row>
    <row r="35" spans="5:16" ht="18.75" x14ac:dyDescent="0.3">
      <c r="E35" s="10" t="s">
        <v>412</v>
      </c>
      <c r="F35" s="28">
        <f>M31*F34</f>
        <v>90.53</v>
      </c>
      <c r="G35" s="28">
        <f>H33-F35</f>
        <v>802.47</v>
      </c>
      <c r="H35" s="28">
        <f>SUM(F35:G35)</f>
        <v>893</v>
      </c>
      <c r="I35" s="57">
        <f>H35/2000</f>
        <v>0.44650000000000001</v>
      </c>
      <c r="J35" s="42"/>
      <c r="K35" s="6"/>
      <c r="L35" s="7"/>
      <c r="M35" s="7"/>
      <c r="N35" s="7"/>
      <c r="O35" s="7"/>
      <c r="P35" s="7"/>
    </row>
    <row r="36" spans="5:16" ht="18.75" x14ac:dyDescent="0.3">
      <c r="E36" s="6"/>
      <c r="F36" s="8"/>
      <c r="G36" s="8"/>
      <c r="H36" s="8"/>
      <c r="I36" s="8"/>
      <c r="J36" s="8"/>
      <c r="K36" s="6"/>
      <c r="L36" s="7"/>
      <c r="M36" s="7"/>
      <c r="N36" s="7"/>
      <c r="O36" s="7"/>
      <c r="P36" s="7"/>
    </row>
    <row r="37" spans="5:16" ht="18.75" x14ac:dyDescent="0.3">
      <c r="E37" s="6"/>
      <c r="F37" s="8"/>
      <c r="G37" s="8"/>
      <c r="H37" s="8"/>
      <c r="I37" s="8"/>
      <c r="J37" s="8"/>
      <c r="K37" s="6"/>
      <c r="L37" s="7"/>
      <c r="M37" s="7"/>
      <c r="N37" s="7"/>
      <c r="O37" s="7"/>
      <c r="P37" s="7"/>
    </row>
    <row r="38" spans="5:16" ht="18.75" x14ac:dyDescent="0.3">
      <c r="E38" s="270" t="s">
        <v>420</v>
      </c>
      <c r="F38" s="271"/>
      <c r="G38" s="271"/>
      <c r="H38" s="271"/>
      <c r="I38" s="271"/>
      <c r="J38" s="272"/>
      <c r="K38" s="6"/>
      <c r="L38" s="7"/>
      <c r="M38" s="7"/>
      <c r="N38" s="7"/>
      <c r="O38" s="7"/>
      <c r="P38" s="7"/>
    </row>
    <row r="39" spans="5:16" ht="18.75" x14ac:dyDescent="0.3">
      <c r="E39" s="10"/>
      <c r="F39" s="37" t="s">
        <v>51</v>
      </c>
      <c r="G39" s="37" t="s">
        <v>53</v>
      </c>
      <c r="H39" s="37" t="s">
        <v>419</v>
      </c>
      <c r="I39" s="37"/>
      <c r="J39" s="37"/>
      <c r="K39" s="6"/>
      <c r="L39" s="7"/>
      <c r="M39" s="8">
        <f>2000*(F40/100)</f>
        <v>420</v>
      </c>
      <c r="N39" s="8">
        <f>2000*(G40/100)</f>
        <v>480</v>
      </c>
      <c r="O39" s="7"/>
      <c r="P39" s="7"/>
    </row>
    <row r="40" spans="5:16" ht="18.75" x14ac:dyDescent="0.3">
      <c r="E40" s="10" t="s">
        <v>501</v>
      </c>
      <c r="F40" s="48">
        <f>F10*100</f>
        <v>21</v>
      </c>
      <c r="G40" s="48">
        <f>F19*100</f>
        <v>24</v>
      </c>
      <c r="H40" s="49">
        <f>'Base Projection'!J24</f>
        <v>539</v>
      </c>
      <c r="I40" s="37"/>
      <c r="J40" s="37"/>
      <c r="K40" s="6"/>
      <c r="L40" s="7"/>
      <c r="M40" s="53">
        <f>M39/(M39+N39)</f>
        <v>0.46666666666666667</v>
      </c>
      <c r="N40" s="53">
        <f>N39/(M39+N39)</f>
        <v>0.53333333333333333</v>
      </c>
      <c r="O40" s="7"/>
      <c r="P40" s="7"/>
    </row>
    <row r="41" spans="5:16" ht="18.75" x14ac:dyDescent="0.3">
      <c r="E41" s="10" t="s">
        <v>413</v>
      </c>
      <c r="F41" s="50">
        <f>H4</f>
        <v>0.41149999999999998</v>
      </c>
      <c r="G41" s="27">
        <f>G42/N39</f>
        <v>0.76285416666666672</v>
      </c>
      <c r="H41" s="43"/>
      <c r="I41" s="37"/>
      <c r="J41" s="37"/>
      <c r="K41" s="6"/>
      <c r="L41" s="7" t="s">
        <v>364</v>
      </c>
      <c r="M41" s="7"/>
      <c r="N41" s="7"/>
      <c r="O41" s="7"/>
      <c r="P41" s="7"/>
    </row>
    <row r="42" spans="5:16" ht="18.75" x14ac:dyDescent="0.3">
      <c r="E42" s="10" t="s">
        <v>412</v>
      </c>
      <c r="F42" s="28">
        <f>M39*F41</f>
        <v>172.82999999999998</v>
      </c>
      <c r="G42" s="28">
        <f>H40-F42</f>
        <v>366.17</v>
      </c>
      <c r="H42" s="28">
        <f>SUM(F42:G42)</f>
        <v>539</v>
      </c>
      <c r="I42" s="42"/>
      <c r="J42" s="42"/>
      <c r="K42" s="6"/>
      <c r="L42" s="7" t="s">
        <v>365</v>
      </c>
      <c r="M42" s="7"/>
      <c r="N42" s="7"/>
      <c r="O42" s="7"/>
      <c r="P42" s="7"/>
    </row>
    <row r="43" spans="5:16" ht="18.75" x14ac:dyDescent="0.3">
      <c r="E43" s="7"/>
      <c r="F43" s="44"/>
      <c r="G43" s="44"/>
      <c r="H43" s="44"/>
      <c r="I43" s="44"/>
      <c r="J43" s="44"/>
      <c r="K43" s="6"/>
      <c r="L43" s="7"/>
      <c r="M43" s="7"/>
      <c r="N43" s="7"/>
    </row>
    <row r="44" spans="5:16" ht="18.75" x14ac:dyDescent="0.3">
      <c r="E44" s="10"/>
      <c r="F44" s="37" t="s">
        <v>51</v>
      </c>
      <c r="G44" s="37" t="s">
        <v>53</v>
      </c>
      <c r="H44" s="37" t="s">
        <v>419</v>
      </c>
      <c r="I44" s="37"/>
      <c r="J44" s="37"/>
      <c r="K44" s="6"/>
      <c r="L44" s="7"/>
      <c r="M44" s="8">
        <f>2000*(F45/100)</f>
        <v>240</v>
      </c>
      <c r="N44" s="8">
        <f>2000*(G45/100)</f>
        <v>520</v>
      </c>
    </row>
    <row r="45" spans="5:16" ht="18.75" x14ac:dyDescent="0.3">
      <c r="E45" s="10" t="s">
        <v>502</v>
      </c>
      <c r="F45" s="48">
        <v>12</v>
      </c>
      <c r="G45" s="48">
        <v>26</v>
      </c>
      <c r="H45" s="49">
        <f>'Base Projection'!J17</f>
        <v>550</v>
      </c>
      <c r="I45" s="37"/>
      <c r="J45" s="37"/>
      <c r="K45" s="6"/>
      <c r="L45" s="7"/>
      <c r="M45" s="53">
        <f>M44/(M44+N44)</f>
        <v>0.31578947368421051</v>
      </c>
      <c r="N45" s="53">
        <f>N44/(M44+N44)</f>
        <v>0.68421052631578949</v>
      </c>
    </row>
    <row r="46" spans="5:16" ht="18.75" x14ac:dyDescent="0.3">
      <c r="E46" s="10" t="s">
        <v>413</v>
      </c>
      <c r="F46" s="50">
        <f>H10</f>
        <v>0.18517499999999998</v>
      </c>
      <c r="G46" s="51">
        <f>G47/N44</f>
        <v>0.97222692307692304</v>
      </c>
      <c r="H46" s="43"/>
      <c r="I46" s="37"/>
      <c r="J46" s="37"/>
      <c r="K46" s="6"/>
      <c r="L46" s="7" t="s">
        <v>364</v>
      </c>
      <c r="M46" s="7"/>
      <c r="N46" s="7"/>
    </row>
    <row r="47" spans="5:16" ht="18.75" x14ac:dyDescent="0.3">
      <c r="E47" s="10" t="s">
        <v>412</v>
      </c>
      <c r="F47" s="28">
        <f>M44*F46</f>
        <v>44.441999999999993</v>
      </c>
      <c r="G47" s="28">
        <f>H45-F47</f>
        <v>505.55799999999999</v>
      </c>
      <c r="H47" s="28">
        <f>SUM(F47:G47)</f>
        <v>550</v>
      </c>
      <c r="I47" s="42"/>
      <c r="J47" s="42"/>
      <c r="K47" s="6"/>
      <c r="L47" s="7" t="s">
        <v>365</v>
      </c>
    </row>
  </sheetData>
  <mergeCells count="2">
    <mergeCell ref="E26:J26"/>
    <mergeCell ref="E38:J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9683E-4741-4EA3-9292-998D73772244}">
  <dimension ref="E2:S47"/>
  <sheetViews>
    <sheetView workbookViewId="0">
      <selection activeCell="J5" sqref="J5"/>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411</v>
      </c>
      <c r="G2" s="37" t="s">
        <v>412</v>
      </c>
      <c r="H2" s="37" t="s">
        <v>432</v>
      </c>
      <c r="I2" s="37" t="s">
        <v>414</v>
      </c>
      <c r="J2" s="37" t="s">
        <v>407</v>
      </c>
      <c r="K2" s="6"/>
      <c r="L2" s="7"/>
      <c r="M2" s="7"/>
      <c r="N2" s="7"/>
      <c r="O2" s="7"/>
      <c r="P2" s="7"/>
    </row>
    <row r="3" spans="5:19" ht="18.75" x14ac:dyDescent="0.3">
      <c r="E3" s="10"/>
      <c r="F3" s="38" t="s">
        <v>60</v>
      </c>
      <c r="G3" s="38" t="s">
        <v>60</v>
      </c>
      <c r="H3" s="54" t="s">
        <v>433</v>
      </c>
      <c r="I3" s="38" t="s">
        <v>60</v>
      </c>
      <c r="J3" s="37"/>
      <c r="K3" s="2"/>
      <c r="L3" s="10"/>
      <c r="M3" s="10"/>
      <c r="N3" s="10"/>
      <c r="O3" s="10"/>
      <c r="P3" s="10"/>
    </row>
    <row r="4" spans="5:19" ht="18.75" x14ac:dyDescent="0.3">
      <c r="E4" s="10" t="s">
        <v>422</v>
      </c>
      <c r="F4" s="48">
        <v>0.46</v>
      </c>
      <c r="G4" s="50">
        <f>'Build-Up'!J18</f>
        <v>823</v>
      </c>
      <c r="H4" s="39">
        <f>G4/2000</f>
        <v>0.41149999999999998</v>
      </c>
      <c r="I4" s="48">
        <f>'Build-Up'!L18</f>
        <v>0</v>
      </c>
      <c r="J4" s="39">
        <f>I4*H4</f>
        <v>0</v>
      </c>
      <c r="K4" s="6"/>
      <c r="L4" s="2">
        <f>2000*F4</f>
        <v>920</v>
      </c>
      <c r="M4" s="7"/>
      <c r="N4" s="7"/>
      <c r="O4" s="10"/>
      <c r="P4" s="42" t="s">
        <v>492</v>
      </c>
      <c r="Q4" s="42" t="s">
        <v>52</v>
      </c>
      <c r="R4" s="42" t="s">
        <v>445</v>
      </c>
      <c r="S4" s="42" t="s">
        <v>53</v>
      </c>
    </row>
    <row r="5" spans="5:19" ht="18.75" x14ac:dyDescent="0.3">
      <c r="E5" s="10" t="s">
        <v>423</v>
      </c>
      <c r="F5" s="48">
        <v>0.28000000000000003</v>
      </c>
      <c r="G5" s="50">
        <f>'Build-Up'!J16</f>
        <v>489</v>
      </c>
      <c r="H5" s="39"/>
      <c r="I5" s="48">
        <f>'Build-Up'!L16</f>
        <v>0</v>
      </c>
      <c r="J5" s="39">
        <f>L5*'Build-Up'!L16*G5</f>
        <v>0</v>
      </c>
      <c r="K5" s="6"/>
      <c r="L5" s="2">
        <f>10.67/2000</f>
        <v>5.3350000000000003E-3</v>
      </c>
      <c r="M5" s="7"/>
      <c r="N5" s="7"/>
      <c r="O5" s="10"/>
      <c r="P5" s="56">
        <f>(I5*10.67*F5)+(I4*F4)+(I10*F10)+(F6*11.04*I6)+(I8*F8)+(I9*F9)+(I7*11.7*F7)</f>
        <v>19.68</v>
      </c>
      <c r="Q5" s="42">
        <f>(I14*F14)+(F15*I15)+(F13*11.7*I13)</f>
        <v>39.78</v>
      </c>
      <c r="R5" s="42">
        <f>(I16*F16)+(F17*I17)</f>
        <v>225</v>
      </c>
      <c r="S5" s="42">
        <f>(I19*F19)+(F18*11.04*I18)+(F20*I20)</f>
        <v>9.1199999999999992</v>
      </c>
    </row>
    <row r="6" spans="5:19" ht="18.75" x14ac:dyDescent="0.3">
      <c r="E6" s="10" t="s">
        <v>451</v>
      </c>
      <c r="F6" s="48">
        <v>0.12</v>
      </c>
      <c r="G6" s="50">
        <f>'Build-Up'!J17</f>
        <v>550</v>
      </c>
      <c r="H6" s="39">
        <f>G6/(2000*M45)</f>
        <v>0.87083333333333335</v>
      </c>
      <c r="I6" s="52">
        <f>'Build-Up'!L17</f>
        <v>0</v>
      </c>
      <c r="J6" s="39">
        <f>L6*'Build-Up'!L17*G6</f>
        <v>0</v>
      </c>
      <c r="K6" s="6"/>
      <c r="L6" s="2">
        <f>11.04/2000</f>
        <v>5.5199999999999997E-3</v>
      </c>
      <c r="M6" s="7"/>
      <c r="N6" s="7"/>
      <c r="O6" s="10"/>
      <c r="P6" s="56"/>
      <c r="Q6" s="7"/>
      <c r="R6" s="7"/>
      <c r="S6" s="7"/>
    </row>
    <row r="7" spans="5:19" ht="18.75" x14ac:dyDescent="0.3">
      <c r="E7" s="10" t="s">
        <v>494</v>
      </c>
      <c r="F7" s="48">
        <v>0.1</v>
      </c>
      <c r="G7" s="50">
        <f>'Build-Up'!J21</f>
        <v>670</v>
      </c>
      <c r="H7" s="39"/>
      <c r="I7" s="48">
        <f>'Build-Up'!L21</f>
        <v>10</v>
      </c>
      <c r="J7" s="39">
        <f>L7*'Build-Up'!L21*G7</f>
        <v>39.195</v>
      </c>
      <c r="K7" s="6"/>
      <c r="L7" s="2">
        <f>11.7/2000</f>
        <v>5.8499999999999993E-3</v>
      </c>
      <c r="M7" s="10"/>
      <c r="N7" s="10"/>
      <c r="O7" s="10"/>
      <c r="P7" s="10"/>
    </row>
    <row r="8" spans="5:19" ht="18.75" x14ac:dyDescent="0.3">
      <c r="E8" s="10" t="s">
        <v>425</v>
      </c>
      <c r="F8" s="48">
        <v>0.18</v>
      </c>
      <c r="G8" s="50">
        <f>F30</f>
        <v>148.13999999999999</v>
      </c>
      <c r="H8" s="39">
        <f>I30</f>
        <v>0.42049999999999998</v>
      </c>
      <c r="I8" s="48">
        <f>'Build-Up'!L19</f>
        <v>0</v>
      </c>
      <c r="J8" s="40">
        <f>I8*H8*M27</f>
        <v>0</v>
      </c>
      <c r="K8" s="6"/>
      <c r="L8" s="2">
        <f>2000*F14</f>
        <v>920</v>
      </c>
      <c r="M8" s="10"/>
      <c r="N8" s="10"/>
      <c r="O8" s="10"/>
      <c r="P8" s="10"/>
    </row>
    <row r="9" spans="5:19" ht="18.75" x14ac:dyDescent="0.3">
      <c r="E9" s="10" t="s">
        <v>426</v>
      </c>
      <c r="F9" s="48">
        <v>0.11</v>
      </c>
      <c r="G9" s="50">
        <f>F35</f>
        <v>90.53</v>
      </c>
      <c r="H9" s="39">
        <f>I35</f>
        <v>0.44650000000000001</v>
      </c>
      <c r="I9" s="48">
        <f>'Build-Up'!L20</f>
        <v>0</v>
      </c>
      <c r="J9" s="40">
        <f>I9*H9*M32</f>
        <v>0</v>
      </c>
      <c r="K9" s="6"/>
      <c r="L9" s="2">
        <f>2000*F15</f>
        <v>1040</v>
      </c>
      <c r="M9" s="10"/>
      <c r="N9" s="10"/>
      <c r="O9" s="10"/>
      <c r="P9" s="10"/>
    </row>
    <row r="10" spans="5:19" ht="18.75" x14ac:dyDescent="0.3">
      <c r="E10" s="10" t="s">
        <v>415</v>
      </c>
      <c r="F10" s="48">
        <v>0.21</v>
      </c>
      <c r="G10" s="50">
        <f>F42</f>
        <v>172.82999999999998</v>
      </c>
      <c r="H10" s="39">
        <f>G10/(2000*M40)</f>
        <v>0.18517499999999998</v>
      </c>
      <c r="I10" s="52">
        <f>'Build-Up'!L24</f>
        <v>38</v>
      </c>
      <c r="J10" s="41">
        <f>I10*H10*M40</f>
        <v>3.2837699999999996</v>
      </c>
      <c r="K10" s="6"/>
      <c r="L10" s="2">
        <f>2000*F10</f>
        <v>420</v>
      </c>
      <c r="M10" s="10"/>
      <c r="N10" s="10"/>
      <c r="O10" s="10"/>
      <c r="P10" s="10"/>
    </row>
    <row r="11" spans="5:19" ht="18.75" x14ac:dyDescent="0.3">
      <c r="E11" s="10"/>
      <c r="F11" s="51"/>
      <c r="G11" s="51"/>
      <c r="H11" s="37"/>
      <c r="I11" s="51"/>
      <c r="J11" s="39">
        <f>SUM(J4:J10)</f>
        <v>42.478769999999997</v>
      </c>
      <c r="K11" s="6"/>
      <c r="L11" s="2"/>
      <c r="M11" s="10"/>
      <c r="N11" s="10"/>
      <c r="O11" s="10"/>
      <c r="P11" s="10"/>
    </row>
    <row r="12" spans="5:19" ht="18.75" x14ac:dyDescent="0.3">
      <c r="E12" s="10"/>
      <c r="F12" s="51"/>
      <c r="G12" s="51"/>
      <c r="H12" s="37"/>
      <c r="I12" s="51"/>
      <c r="J12" s="39"/>
      <c r="K12" s="6"/>
      <c r="L12" s="2"/>
      <c r="M12" s="10"/>
      <c r="N12" s="10"/>
      <c r="O12" s="10"/>
      <c r="P12" s="10"/>
    </row>
    <row r="13" spans="5:19" ht="18.75" x14ac:dyDescent="0.3">
      <c r="E13" s="10" t="s">
        <v>495</v>
      </c>
      <c r="F13" s="48">
        <v>0.34</v>
      </c>
      <c r="G13" s="50">
        <f>'Build-Up'!J21</f>
        <v>670</v>
      </c>
      <c r="H13" s="39"/>
      <c r="I13" s="48">
        <f>'Build-Up'!L21</f>
        <v>10</v>
      </c>
      <c r="J13" s="39">
        <f>L13*'Build-Up'!L21*G13</f>
        <v>39.195</v>
      </c>
      <c r="K13" s="6"/>
      <c r="L13" s="2">
        <f>11.7/2000</f>
        <v>5.8499999999999993E-3</v>
      </c>
      <c r="M13" s="10"/>
      <c r="N13" s="10"/>
      <c r="O13" s="10"/>
      <c r="P13" s="10"/>
    </row>
    <row r="14" spans="5:19" ht="18.75" x14ac:dyDescent="0.3">
      <c r="E14" s="10" t="s">
        <v>424</v>
      </c>
      <c r="F14" s="48">
        <v>0.46</v>
      </c>
      <c r="G14" s="50">
        <f>G30</f>
        <v>692.86</v>
      </c>
      <c r="H14" s="39">
        <f>I30</f>
        <v>0.42049999999999998</v>
      </c>
      <c r="I14" s="48">
        <f>'Build-Up'!L19</f>
        <v>0</v>
      </c>
      <c r="J14" s="39">
        <f>I14*H14*N27</f>
        <v>0</v>
      </c>
      <c r="K14" s="6"/>
      <c r="L14" s="2">
        <f>2000*F8</f>
        <v>360</v>
      </c>
      <c r="M14" s="10"/>
      <c r="N14" s="10"/>
      <c r="O14" s="10"/>
      <c r="P14" s="10"/>
    </row>
    <row r="15" spans="5:19" ht="18.75" x14ac:dyDescent="0.3">
      <c r="E15" s="10" t="s">
        <v>431</v>
      </c>
      <c r="F15" s="48">
        <v>0.52</v>
      </c>
      <c r="G15" s="50">
        <f>G35</f>
        <v>802.47</v>
      </c>
      <c r="H15" s="39">
        <f>I35</f>
        <v>0.44650000000000001</v>
      </c>
      <c r="I15" s="48">
        <f>'Build-Up'!L20</f>
        <v>0</v>
      </c>
      <c r="J15" s="39">
        <f>I15*H15*N32</f>
        <v>0</v>
      </c>
      <c r="K15" s="6"/>
      <c r="L15" s="2">
        <f>2000*F10</f>
        <v>420</v>
      </c>
      <c r="M15" s="10"/>
      <c r="N15" s="10"/>
      <c r="O15" s="10"/>
      <c r="P15" s="10"/>
    </row>
    <row r="16" spans="5:19" ht="18.75" x14ac:dyDescent="0.3">
      <c r="E16" s="10" t="s">
        <v>416</v>
      </c>
      <c r="F16" s="52">
        <v>0.6</v>
      </c>
      <c r="G16" s="50">
        <f>'Build-Up'!J22</f>
        <v>500</v>
      </c>
      <c r="H16" s="39">
        <f>G16/2000</f>
        <v>0.25</v>
      </c>
      <c r="I16" s="48">
        <f>'Build-Up'!L22</f>
        <v>375</v>
      </c>
      <c r="J16" s="40">
        <f>I16*H16</f>
        <v>93.75</v>
      </c>
      <c r="K16" s="6"/>
      <c r="L16" s="2">
        <f>2000*F16</f>
        <v>1200</v>
      </c>
      <c r="M16" s="10"/>
      <c r="N16" s="10"/>
      <c r="O16" s="10"/>
      <c r="P16" s="10"/>
    </row>
    <row r="17" spans="5:16" ht="18.75" x14ac:dyDescent="0.3">
      <c r="E17" s="10" t="s">
        <v>498</v>
      </c>
      <c r="F17" s="52">
        <v>0.22</v>
      </c>
      <c r="G17" s="50">
        <f>'Build-Up'!J23</f>
        <v>0</v>
      </c>
      <c r="H17" s="39">
        <f>G17/2000</f>
        <v>0</v>
      </c>
      <c r="I17" s="48">
        <f>'Build-Up'!L23</f>
        <v>0</v>
      </c>
      <c r="J17" s="40">
        <f>I17*H17</f>
        <v>0</v>
      </c>
      <c r="K17" s="6"/>
      <c r="L17" s="2">
        <f>2000*F17</f>
        <v>440</v>
      </c>
      <c r="M17" s="10"/>
      <c r="N17" s="10"/>
      <c r="O17" s="10"/>
      <c r="P17" s="10"/>
    </row>
    <row r="18" spans="5:16" ht="18.75" x14ac:dyDescent="0.3">
      <c r="E18" s="10" t="s">
        <v>453</v>
      </c>
      <c r="F18" s="48">
        <v>0.26</v>
      </c>
      <c r="G18" s="50">
        <f>G47</f>
        <v>505.55799999999999</v>
      </c>
      <c r="H18" s="39">
        <f>G18/(2000*N44)</f>
        <v>4.8611346153846151E-4</v>
      </c>
      <c r="I18" s="52">
        <f>'Build-Up'!L17</f>
        <v>0</v>
      </c>
      <c r="J18" s="46">
        <f>I18*H18*N39</f>
        <v>0</v>
      </c>
      <c r="K18" s="6"/>
      <c r="L18" s="2">
        <f>2000*F18</f>
        <v>520</v>
      </c>
      <c r="M18" s="10"/>
      <c r="N18" s="10"/>
      <c r="O18" s="10"/>
      <c r="P18" s="10"/>
    </row>
    <row r="19" spans="5:16" ht="18.75" x14ac:dyDescent="0.3">
      <c r="E19" s="10" t="s">
        <v>452</v>
      </c>
      <c r="F19" s="48">
        <v>0.24</v>
      </c>
      <c r="G19" s="50">
        <f>G42</f>
        <v>366.17</v>
      </c>
      <c r="H19" s="39">
        <f>G19/(2000*N40)</f>
        <v>0.34328437499999997</v>
      </c>
      <c r="I19" s="52">
        <f>'Build-Up'!L24</f>
        <v>38</v>
      </c>
      <c r="J19" s="46">
        <f>I19*H19*N40</f>
        <v>6.9572299999999991</v>
      </c>
      <c r="K19" s="6"/>
      <c r="L19" s="2">
        <f>2000*F19</f>
        <v>480</v>
      </c>
      <c r="M19" s="10"/>
      <c r="N19" s="10"/>
      <c r="O19" s="10"/>
      <c r="P19" s="10"/>
    </row>
    <row r="20" spans="5:16" ht="18.75" x14ac:dyDescent="0.3">
      <c r="E20" s="10" t="s">
        <v>500</v>
      </c>
      <c r="F20" s="43">
        <v>0.17</v>
      </c>
      <c r="G20" s="50">
        <f>'Build-Up'!J25</f>
        <v>0</v>
      </c>
      <c r="H20" s="39">
        <f>G20/2000</f>
        <v>0</v>
      </c>
      <c r="I20" s="66">
        <f>'Build-Up'!L25</f>
        <v>0</v>
      </c>
      <c r="J20" s="40">
        <f>I20*H20</f>
        <v>0</v>
      </c>
      <c r="K20" s="6"/>
      <c r="L20" s="2">
        <f>2000*F20</f>
        <v>340</v>
      </c>
      <c r="M20" s="10"/>
      <c r="N20" s="10"/>
      <c r="O20" s="10"/>
      <c r="P20" s="10"/>
    </row>
    <row r="21" spans="5:16" ht="18.75" x14ac:dyDescent="0.3">
      <c r="E21" s="10"/>
      <c r="F21" s="37"/>
      <c r="G21" s="37"/>
      <c r="H21" s="37"/>
      <c r="I21" s="37"/>
      <c r="J21" s="39">
        <f>SUM(J13:J20)</f>
        <v>139.90223</v>
      </c>
      <c r="K21" s="2"/>
      <c r="L21" s="10"/>
      <c r="M21" s="10"/>
      <c r="N21" s="10"/>
      <c r="O21" s="8"/>
      <c r="P21" s="8">
        <f>SUM(M26:N26)</f>
        <v>1280</v>
      </c>
    </row>
    <row r="22" spans="5:16" ht="18.75" x14ac:dyDescent="0.3">
      <c r="E22" s="10"/>
      <c r="F22" s="37"/>
      <c r="G22" s="37"/>
      <c r="H22" s="37"/>
      <c r="I22" s="8"/>
      <c r="J22" s="8"/>
      <c r="K22" s="2"/>
      <c r="L22" s="10"/>
      <c r="M22" s="10"/>
      <c r="N22" s="10"/>
      <c r="O22" s="8"/>
      <c r="P22" s="8">
        <f>SUM(M27:N27)</f>
        <v>1</v>
      </c>
    </row>
    <row r="23" spans="5:16" ht="18.75" x14ac:dyDescent="0.3">
      <c r="E23" s="10"/>
      <c r="F23" s="42"/>
      <c r="G23" s="42"/>
      <c r="H23" s="37"/>
      <c r="I23" s="43" t="s">
        <v>417</v>
      </c>
      <c r="J23" s="47">
        <f>J11+J21</f>
        <v>182.381</v>
      </c>
      <c r="K23" s="2"/>
      <c r="L23" s="10"/>
      <c r="M23" s="7"/>
      <c r="N23" s="7"/>
      <c r="O23" s="7"/>
      <c r="P23" s="7"/>
    </row>
    <row r="24" spans="5:16" ht="18.75" x14ac:dyDescent="0.3">
      <c r="E24" s="10"/>
      <c r="F24" s="37"/>
      <c r="G24" s="37"/>
      <c r="H24" s="37"/>
      <c r="I24" s="37"/>
      <c r="J24" s="37"/>
      <c r="K24" s="6"/>
      <c r="L24" s="7"/>
      <c r="M24" s="7"/>
      <c r="N24" s="7"/>
      <c r="O24" s="7"/>
      <c r="P24" s="7"/>
    </row>
    <row r="25" spans="5:16" ht="18.75" x14ac:dyDescent="0.3">
      <c r="E25" s="10"/>
      <c r="F25" s="37"/>
      <c r="G25" s="37"/>
      <c r="H25" s="37"/>
      <c r="I25" s="37"/>
      <c r="J25" s="37"/>
      <c r="K25" s="6"/>
      <c r="L25" s="7"/>
      <c r="M25" s="7"/>
      <c r="N25" s="7"/>
      <c r="O25" s="7"/>
      <c r="P25" s="7"/>
    </row>
    <row r="26" spans="5:16" ht="18.75" x14ac:dyDescent="0.3">
      <c r="E26" s="270" t="s">
        <v>418</v>
      </c>
      <c r="F26" s="271"/>
      <c r="G26" s="271"/>
      <c r="H26" s="271"/>
      <c r="I26" s="271"/>
      <c r="J26" s="272"/>
      <c r="K26" s="6"/>
      <c r="L26" s="7"/>
      <c r="M26" s="8">
        <f>2000*(F28/100)</f>
        <v>360</v>
      </c>
      <c r="N26" s="8">
        <f>2000*(G28/100)</f>
        <v>920</v>
      </c>
      <c r="O26" s="7"/>
      <c r="P26" s="7"/>
    </row>
    <row r="27" spans="5:16" ht="18.75" x14ac:dyDescent="0.3">
      <c r="E27" s="10"/>
      <c r="F27" s="37" t="s">
        <v>51</v>
      </c>
      <c r="G27" s="37" t="s">
        <v>52</v>
      </c>
      <c r="H27" s="37" t="s">
        <v>419</v>
      </c>
      <c r="I27" s="37"/>
      <c r="J27" s="37"/>
      <c r="K27" s="6"/>
      <c r="L27" s="7"/>
      <c r="M27" s="53">
        <f>M26/(M26+N26)</f>
        <v>0.28125</v>
      </c>
      <c r="N27" s="53">
        <f>N26/(M26+N26)</f>
        <v>0.71875</v>
      </c>
      <c r="O27" s="7"/>
      <c r="P27" s="7"/>
    </row>
    <row r="28" spans="5:16" ht="18.75" x14ac:dyDescent="0.3">
      <c r="E28" s="10"/>
      <c r="F28" s="48">
        <f>F8*100</f>
        <v>18</v>
      </c>
      <c r="G28" s="48">
        <f>F14*100</f>
        <v>46</v>
      </c>
      <c r="H28" s="49">
        <f>'Build-Up'!J19</f>
        <v>841</v>
      </c>
      <c r="I28" s="37"/>
      <c r="J28" s="37"/>
      <c r="K28" s="6"/>
      <c r="L28" s="7" t="s">
        <v>364</v>
      </c>
      <c r="M28" s="7"/>
      <c r="N28" s="7"/>
      <c r="O28" s="7"/>
      <c r="P28" s="7"/>
    </row>
    <row r="29" spans="5:16" ht="18.75" x14ac:dyDescent="0.3">
      <c r="E29" s="10" t="s">
        <v>413</v>
      </c>
      <c r="F29" s="50">
        <f>H4</f>
        <v>0.41149999999999998</v>
      </c>
      <c r="G29" s="28">
        <f>G30/N26</f>
        <v>0.75310869565217398</v>
      </c>
      <c r="H29" s="42"/>
      <c r="I29" s="37"/>
      <c r="J29" s="37"/>
      <c r="K29" s="6"/>
      <c r="L29" s="7" t="s">
        <v>365</v>
      </c>
      <c r="M29" s="7"/>
      <c r="N29" s="7"/>
      <c r="O29" s="7"/>
      <c r="P29" s="7"/>
    </row>
    <row r="30" spans="5:16" ht="18.75" x14ac:dyDescent="0.3">
      <c r="E30" s="10" t="s">
        <v>412</v>
      </c>
      <c r="F30" s="28">
        <f>M26*F29</f>
        <v>148.13999999999999</v>
      </c>
      <c r="G30" s="28">
        <f>H28-F30</f>
        <v>692.86</v>
      </c>
      <c r="H30" s="28">
        <f>SUM(F30:G30)</f>
        <v>841</v>
      </c>
      <c r="I30" s="57">
        <f>H30/2000</f>
        <v>0.42049999999999998</v>
      </c>
      <c r="J30" s="42"/>
      <c r="K30" s="6"/>
      <c r="L30" s="7"/>
      <c r="M30" s="7"/>
      <c r="N30" s="7"/>
      <c r="O30" s="7"/>
      <c r="P30" s="7"/>
    </row>
    <row r="31" spans="5:16" ht="18.75" x14ac:dyDescent="0.3">
      <c r="E31" s="7"/>
      <c r="F31" s="44"/>
      <c r="G31" s="44"/>
      <c r="H31" s="44"/>
      <c r="I31" s="44"/>
      <c r="J31" s="44"/>
      <c r="K31" s="6"/>
      <c r="L31" s="7"/>
      <c r="M31" s="8">
        <f>2000*(F33/100)</f>
        <v>220</v>
      </c>
      <c r="N31" s="8">
        <f>2000*(G33/100)</f>
        <v>1040</v>
      </c>
      <c r="O31" s="7"/>
      <c r="P31" s="7"/>
    </row>
    <row r="32" spans="5:16" ht="18.75" x14ac:dyDescent="0.3">
      <c r="E32" s="10"/>
      <c r="F32" s="37" t="s">
        <v>51</v>
      </c>
      <c r="G32" s="37" t="s">
        <v>52</v>
      </c>
      <c r="H32" s="37" t="s">
        <v>419</v>
      </c>
      <c r="I32" s="37"/>
      <c r="J32" s="37"/>
      <c r="K32" s="6"/>
      <c r="L32" s="7"/>
      <c r="M32" s="53">
        <f>M31/(M31+N31)</f>
        <v>0.17460317460317459</v>
      </c>
      <c r="N32" s="53">
        <f>N31/(M31+N31)</f>
        <v>0.82539682539682535</v>
      </c>
      <c r="O32" s="7"/>
      <c r="P32" s="7"/>
    </row>
    <row r="33" spans="5:16" ht="18.75" x14ac:dyDescent="0.3">
      <c r="E33" s="10"/>
      <c r="F33" s="48">
        <f>F9*100</f>
        <v>11</v>
      </c>
      <c r="G33" s="48">
        <f>F15*100</f>
        <v>52</v>
      </c>
      <c r="H33" s="49">
        <f>'Build-Up'!J20</f>
        <v>893</v>
      </c>
      <c r="I33" s="37"/>
      <c r="J33" s="37"/>
      <c r="K33" s="6"/>
      <c r="L33" s="7" t="s">
        <v>364</v>
      </c>
      <c r="M33" s="7"/>
      <c r="N33" s="7"/>
      <c r="O33" s="7"/>
      <c r="P33" s="7"/>
    </row>
    <row r="34" spans="5:16" ht="18.75" x14ac:dyDescent="0.3">
      <c r="E34" s="10" t="s">
        <v>413</v>
      </c>
      <c r="F34" s="50">
        <f>H4</f>
        <v>0.41149999999999998</v>
      </c>
      <c r="G34" s="28">
        <f>G35/N31</f>
        <v>0.77160576923076929</v>
      </c>
      <c r="H34" s="42"/>
      <c r="I34" s="37"/>
      <c r="J34" s="37"/>
      <c r="K34" s="6"/>
      <c r="L34" s="7" t="s">
        <v>365</v>
      </c>
      <c r="M34" s="7"/>
      <c r="N34" s="7"/>
      <c r="O34" s="7"/>
      <c r="P34" s="7"/>
    </row>
    <row r="35" spans="5:16" ht="18.75" x14ac:dyDescent="0.3">
      <c r="E35" s="10" t="s">
        <v>412</v>
      </c>
      <c r="F35" s="28">
        <f>M31*F34</f>
        <v>90.53</v>
      </c>
      <c r="G35" s="28">
        <f>H33-F35</f>
        <v>802.47</v>
      </c>
      <c r="H35" s="28">
        <f>SUM(F35:G35)</f>
        <v>893</v>
      </c>
      <c r="I35" s="57">
        <f>H35/2000</f>
        <v>0.44650000000000001</v>
      </c>
      <c r="J35" s="42"/>
      <c r="K35" s="6"/>
      <c r="L35" s="7"/>
      <c r="M35" s="7"/>
      <c r="N35" s="7"/>
      <c r="O35" s="7"/>
      <c r="P35" s="7"/>
    </row>
    <row r="36" spans="5:16" ht="18.75" x14ac:dyDescent="0.3">
      <c r="E36" s="6"/>
      <c r="F36" s="8"/>
      <c r="G36" s="8"/>
      <c r="H36" s="8"/>
      <c r="I36" s="8"/>
      <c r="J36" s="8"/>
      <c r="K36" s="6"/>
      <c r="L36" s="7"/>
      <c r="M36" s="7"/>
      <c r="N36" s="7"/>
      <c r="O36" s="7"/>
      <c r="P36" s="7"/>
    </row>
    <row r="37" spans="5:16" ht="18.75" x14ac:dyDescent="0.3">
      <c r="E37" s="6"/>
      <c r="F37" s="8"/>
      <c r="G37" s="8"/>
      <c r="H37" s="8"/>
      <c r="I37" s="8"/>
      <c r="J37" s="8"/>
      <c r="K37" s="6"/>
      <c r="L37" s="7"/>
      <c r="M37" s="7"/>
      <c r="N37" s="7"/>
      <c r="O37" s="7"/>
      <c r="P37" s="7"/>
    </row>
    <row r="38" spans="5:16" ht="18.75" x14ac:dyDescent="0.3">
      <c r="E38" s="270" t="s">
        <v>420</v>
      </c>
      <c r="F38" s="271"/>
      <c r="G38" s="271"/>
      <c r="H38" s="271"/>
      <c r="I38" s="271"/>
      <c r="J38" s="272"/>
      <c r="K38" s="6"/>
      <c r="L38" s="7"/>
      <c r="M38" s="7"/>
      <c r="N38" s="7"/>
      <c r="O38" s="7"/>
      <c r="P38" s="7"/>
    </row>
    <row r="39" spans="5:16" ht="18.75" x14ac:dyDescent="0.3">
      <c r="E39" s="10"/>
      <c r="F39" s="37" t="s">
        <v>51</v>
      </c>
      <c r="G39" s="37" t="s">
        <v>53</v>
      </c>
      <c r="H39" s="37" t="s">
        <v>419</v>
      </c>
      <c r="I39" s="37"/>
      <c r="J39" s="37"/>
      <c r="K39" s="6"/>
      <c r="L39" s="7"/>
      <c r="M39" s="8">
        <f>2000*(F40/100)</f>
        <v>420</v>
      </c>
      <c r="N39" s="8">
        <f>2000*(G40/100)</f>
        <v>480</v>
      </c>
      <c r="O39" s="7"/>
      <c r="P39" s="7"/>
    </row>
    <row r="40" spans="5:16" ht="18.75" x14ac:dyDescent="0.3">
      <c r="E40" s="10" t="s">
        <v>501</v>
      </c>
      <c r="F40" s="48">
        <f>F10*100</f>
        <v>21</v>
      </c>
      <c r="G40" s="48">
        <f>F19*100</f>
        <v>24</v>
      </c>
      <c r="H40" s="49">
        <f>'Build-Up'!J24</f>
        <v>539</v>
      </c>
      <c r="I40" s="37"/>
      <c r="J40" s="37"/>
      <c r="K40" s="6"/>
      <c r="L40" s="7"/>
      <c r="M40" s="53">
        <f>M39/(M39+N39)</f>
        <v>0.46666666666666667</v>
      </c>
      <c r="N40" s="53">
        <f>N39/(M39+N39)</f>
        <v>0.53333333333333333</v>
      </c>
      <c r="O40" s="7"/>
      <c r="P40" s="7"/>
    </row>
    <row r="41" spans="5:16" ht="18.75" x14ac:dyDescent="0.3">
      <c r="E41" s="10" t="s">
        <v>413</v>
      </c>
      <c r="F41" s="50">
        <f>H4</f>
        <v>0.41149999999999998</v>
      </c>
      <c r="G41" s="27">
        <f>G42/N39</f>
        <v>0.76285416666666672</v>
      </c>
      <c r="H41" s="43"/>
      <c r="I41" s="37"/>
      <c r="J41" s="37"/>
      <c r="K41" s="6"/>
      <c r="L41" s="7" t="s">
        <v>364</v>
      </c>
      <c r="M41" s="7"/>
      <c r="N41" s="7"/>
      <c r="O41" s="7"/>
      <c r="P41" s="7"/>
    </row>
    <row r="42" spans="5:16" ht="18.75" x14ac:dyDescent="0.3">
      <c r="E42" s="10" t="s">
        <v>412</v>
      </c>
      <c r="F42" s="28">
        <f>M39*F41</f>
        <v>172.82999999999998</v>
      </c>
      <c r="G42" s="28">
        <f>H40-F42</f>
        <v>366.17</v>
      </c>
      <c r="H42" s="28">
        <f>SUM(F42:G42)</f>
        <v>539</v>
      </c>
      <c r="I42" s="42"/>
      <c r="J42" s="42"/>
      <c r="K42" s="6"/>
      <c r="L42" s="7" t="s">
        <v>365</v>
      </c>
      <c r="M42" s="7"/>
      <c r="N42" s="7"/>
      <c r="O42" s="7"/>
      <c r="P42" s="7"/>
    </row>
    <row r="43" spans="5:16" ht="18.75" x14ac:dyDescent="0.3">
      <c r="E43" s="7"/>
      <c r="F43" s="44"/>
      <c r="G43" s="44"/>
      <c r="H43" s="44"/>
      <c r="I43" s="44"/>
      <c r="J43" s="44"/>
      <c r="K43" s="6"/>
      <c r="L43" s="7"/>
      <c r="M43" s="7"/>
      <c r="N43" s="7"/>
    </row>
    <row r="44" spans="5:16" ht="18.75" x14ac:dyDescent="0.3">
      <c r="E44" s="10"/>
      <c r="F44" s="37" t="s">
        <v>51</v>
      </c>
      <c r="G44" s="37" t="s">
        <v>53</v>
      </c>
      <c r="H44" s="37" t="s">
        <v>419</v>
      </c>
      <c r="I44" s="37"/>
      <c r="J44" s="37"/>
      <c r="K44" s="6"/>
      <c r="L44" s="7"/>
      <c r="M44" s="8">
        <f>2000*(F45/100)</f>
        <v>240</v>
      </c>
      <c r="N44" s="8">
        <f>2000*(G45/100)</f>
        <v>520</v>
      </c>
    </row>
    <row r="45" spans="5:16" ht="18.75" x14ac:dyDescent="0.3">
      <c r="E45" s="10" t="s">
        <v>502</v>
      </c>
      <c r="F45" s="48">
        <v>12</v>
      </c>
      <c r="G45" s="48">
        <v>26</v>
      </c>
      <c r="H45" s="49">
        <f>'Build-Up'!J17</f>
        <v>550</v>
      </c>
      <c r="I45" s="37"/>
      <c r="J45" s="37"/>
      <c r="K45" s="6"/>
      <c r="L45" s="7"/>
      <c r="M45" s="53">
        <f>M44/(M44+N44)</f>
        <v>0.31578947368421051</v>
      </c>
      <c r="N45" s="53">
        <f>N44/(M44+N44)</f>
        <v>0.68421052631578949</v>
      </c>
    </row>
    <row r="46" spans="5:16" ht="18.75" x14ac:dyDescent="0.3">
      <c r="E46" s="10" t="s">
        <v>413</v>
      </c>
      <c r="F46" s="50">
        <f>H10</f>
        <v>0.18517499999999998</v>
      </c>
      <c r="G46" s="51">
        <f>G47/N44</f>
        <v>0.97222692307692304</v>
      </c>
      <c r="H46" s="43"/>
      <c r="I46" s="37"/>
      <c r="J46" s="37"/>
      <c r="K46" s="6"/>
      <c r="L46" s="7" t="s">
        <v>364</v>
      </c>
      <c r="M46" s="7"/>
      <c r="N46" s="7"/>
    </row>
    <row r="47" spans="5:16" ht="18.75" x14ac:dyDescent="0.3">
      <c r="E47" s="10" t="s">
        <v>412</v>
      </c>
      <c r="F47" s="28">
        <f>M44*F46</f>
        <v>44.441999999999993</v>
      </c>
      <c r="G47" s="28">
        <f>H45-F47</f>
        <v>505.55799999999999</v>
      </c>
      <c r="H47" s="28">
        <f>SUM(F47:G47)</f>
        <v>550</v>
      </c>
      <c r="I47" s="42"/>
      <c r="J47" s="42"/>
      <c r="K47" s="6"/>
      <c r="L47" s="7" t="s">
        <v>365</v>
      </c>
    </row>
  </sheetData>
  <mergeCells count="2">
    <mergeCell ref="E26:J26"/>
    <mergeCell ref="E38:J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FCC35-FC4B-467C-8B5D-01B52EA9388E}">
  <dimension ref="E2:S47"/>
  <sheetViews>
    <sheetView workbookViewId="0">
      <selection activeCell="J21" sqref="J21"/>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411</v>
      </c>
      <c r="G2" s="37" t="s">
        <v>412</v>
      </c>
      <c r="H2" s="37" t="s">
        <v>432</v>
      </c>
      <c r="I2" s="37" t="s">
        <v>414</v>
      </c>
      <c r="J2" s="37" t="s">
        <v>407</v>
      </c>
      <c r="K2" s="6"/>
      <c r="L2" s="7"/>
      <c r="M2" s="7"/>
      <c r="N2" s="7"/>
      <c r="O2" s="7"/>
      <c r="P2" s="7"/>
    </row>
    <row r="3" spans="5:19" ht="18.75" x14ac:dyDescent="0.3">
      <c r="E3" s="10"/>
      <c r="F3" s="38" t="s">
        <v>60</v>
      </c>
      <c r="G3" s="38" t="s">
        <v>60</v>
      </c>
      <c r="H3" s="54" t="s">
        <v>433</v>
      </c>
      <c r="I3" s="38" t="s">
        <v>60</v>
      </c>
      <c r="J3" s="37"/>
      <c r="K3" s="2"/>
      <c r="L3" s="10"/>
      <c r="M3" s="10"/>
      <c r="N3" s="10"/>
      <c r="O3" s="10"/>
      <c r="P3" s="10"/>
    </row>
    <row r="4" spans="5:19" ht="18.75" x14ac:dyDescent="0.3">
      <c r="E4" s="10" t="s">
        <v>422</v>
      </c>
      <c r="F4" s="48">
        <v>0.46</v>
      </c>
      <c r="G4" s="50">
        <f>'Push Production'!J18</f>
        <v>823</v>
      </c>
      <c r="H4" s="39">
        <f>G4/2000</f>
        <v>0.41149999999999998</v>
      </c>
      <c r="I4" s="48">
        <f>'Push Production'!L18</f>
        <v>0</v>
      </c>
      <c r="J4" s="39">
        <f>I4*H4</f>
        <v>0</v>
      </c>
      <c r="K4" s="6"/>
      <c r="L4" s="2">
        <f>2000*F4</f>
        <v>920</v>
      </c>
      <c r="M4" s="7"/>
      <c r="N4" s="7"/>
      <c r="O4" s="10"/>
      <c r="P4" s="42" t="s">
        <v>492</v>
      </c>
      <c r="Q4" s="42" t="s">
        <v>52</v>
      </c>
      <c r="R4" s="42" t="s">
        <v>445</v>
      </c>
      <c r="S4" s="42" t="s">
        <v>53</v>
      </c>
    </row>
    <row r="5" spans="5:19" ht="18.75" x14ac:dyDescent="0.3">
      <c r="E5" s="10" t="s">
        <v>423</v>
      </c>
      <c r="F5" s="48">
        <v>0.28000000000000003</v>
      </c>
      <c r="G5" s="50">
        <f>'Push Production'!J16</f>
        <v>489</v>
      </c>
      <c r="H5" s="39"/>
      <c r="I5" s="48">
        <f>'Push Production'!L16</f>
        <v>0</v>
      </c>
      <c r="J5" s="39">
        <f>L5*'Push Production'!L16*G5</f>
        <v>0</v>
      </c>
      <c r="K5" s="6"/>
      <c r="L5" s="2">
        <f>10.67/2000</f>
        <v>5.3350000000000003E-3</v>
      </c>
      <c r="M5" s="7"/>
      <c r="N5" s="7"/>
      <c r="O5" s="10"/>
      <c r="P5" s="56">
        <f>(I5*10.67*F5)+(I4*F4)+(I10*F10)+(F6*11.04*I6)+(I8*F8)+(I9*F9)+(I7*11.7*F7)</f>
        <v>29.310000000000002</v>
      </c>
      <c r="Q5" s="42">
        <f>(I14*F14)+(F15*I15)+(F13*11.7*I13)</f>
        <v>59.67</v>
      </c>
      <c r="R5" s="42">
        <f>(I16*F16)+(F17*I17)</f>
        <v>90</v>
      </c>
      <c r="S5" s="42">
        <f>(I19*F19)+(F18*11.04*I18)+(F20*I20)</f>
        <v>13.44</v>
      </c>
    </row>
    <row r="6" spans="5:19" ht="18.75" x14ac:dyDescent="0.3">
      <c r="E6" s="10" t="s">
        <v>451</v>
      </c>
      <c r="F6" s="48">
        <v>0.12</v>
      </c>
      <c r="G6" s="50">
        <f>'Push Production'!J17</f>
        <v>550</v>
      </c>
      <c r="H6" s="39">
        <f>G6/(2000*M45)</f>
        <v>0.87083333333333335</v>
      </c>
      <c r="I6" s="52">
        <f>'Push Production'!L17</f>
        <v>0</v>
      </c>
      <c r="J6" s="39">
        <f>L6*'Push Production'!L17*G6</f>
        <v>0</v>
      </c>
      <c r="K6" s="6"/>
      <c r="L6" s="2">
        <f>11.04/2000</f>
        <v>5.5199999999999997E-3</v>
      </c>
      <c r="M6" s="7"/>
      <c r="N6" s="7"/>
      <c r="O6" s="10"/>
      <c r="P6" s="56"/>
      <c r="Q6" s="7"/>
      <c r="R6" s="7"/>
      <c r="S6" s="7"/>
    </row>
    <row r="7" spans="5:19" ht="18.75" x14ac:dyDescent="0.3">
      <c r="E7" s="10" t="s">
        <v>494</v>
      </c>
      <c r="F7" s="48">
        <v>0.1</v>
      </c>
      <c r="G7" s="50">
        <f>'Push Production'!J21</f>
        <v>670</v>
      </c>
      <c r="H7" s="39"/>
      <c r="I7" s="48">
        <f>'Push Production'!L21</f>
        <v>15</v>
      </c>
      <c r="J7" s="39">
        <f>L7*'Push Production'!L21*G7</f>
        <v>58.792499999999997</v>
      </c>
      <c r="K7" s="6"/>
      <c r="L7" s="2">
        <f>11.7/2000</f>
        <v>5.8499999999999993E-3</v>
      </c>
      <c r="M7" s="10"/>
      <c r="N7" s="10"/>
      <c r="O7" s="10"/>
      <c r="P7" s="10"/>
    </row>
    <row r="8" spans="5:19" ht="18.75" x14ac:dyDescent="0.3">
      <c r="E8" s="10" t="s">
        <v>425</v>
      </c>
      <c r="F8" s="48">
        <v>0.18</v>
      </c>
      <c r="G8" s="50">
        <f>F30</f>
        <v>148.13999999999999</v>
      </c>
      <c r="H8" s="39">
        <f>I30</f>
        <v>0.42049999999999998</v>
      </c>
      <c r="I8" s="48">
        <f>'Push Production'!L19</f>
        <v>0</v>
      </c>
      <c r="J8" s="40">
        <f>I8*H8*M27</f>
        <v>0</v>
      </c>
      <c r="K8" s="6"/>
      <c r="L8" s="2">
        <f>2000*F14</f>
        <v>920</v>
      </c>
      <c r="M8" s="10"/>
      <c r="N8" s="10"/>
      <c r="O8" s="10"/>
      <c r="P8" s="10"/>
    </row>
    <row r="9" spans="5:19" ht="18.75" x14ac:dyDescent="0.3">
      <c r="E9" s="10" t="s">
        <v>426</v>
      </c>
      <c r="F9" s="48">
        <v>0.11</v>
      </c>
      <c r="G9" s="50">
        <f>F35</f>
        <v>90.53</v>
      </c>
      <c r="H9" s="39">
        <f>I35</f>
        <v>0.44650000000000001</v>
      </c>
      <c r="I9" s="48">
        <f>'Push Production'!L20</f>
        <v>0</v>
      </c>
      <c r="J9" s="40">
        <f>I9*H9*M32</f>
        <v>0</v>
      </c>
      <c r="K9" s="6"/>
      <c r="L9" s="2">
        <f>2000*F15</f>
        <v>1040</v>
      </c>
      <c r="M9" s="10"/>
      <c r="N9" s="10"/>
      <c r="O9" s="10"/>
      <c r="P9" s="10"/>
    </row>
    <row r="10" spans="5:19" ht="18.75" x14ac:dyDescent="0.3">
      <c r="E10" s="10" t="s">
        <v>415</v>
      </c>
      <c r="F10" s="48">
        <v>0.21</v>
      </c>
      <c r="G10" s="50">
        <f>F42</f>
        <v>172.82999999999998</v>
      </c>
      <c r="H10" s="39">
        <f>G10/(2000*M40)</f>
        <v>0.18517499999999998</v>
      </c>
      <c r="I10" s="52">
        <f>'Push Production'!L24</f>
        <v>56</v>
      </c>
      <c r="J10" s="41">
        <f>I10*H10*M40</f>
        <v>4.8392399999999993</v>
      </c>
      <c r="K10" s="6"/>
      <c r="L10" s="2">
        <f>2000*F10</f>
        <v>420</v>
      </c>
      <c r="M10" s="10"/>
      <c r="N10" s="10"/>
      <c r="O10" s="10"/>
      <c r="P10" s="10"/>
    </row>
    <row r="11" spans="5:19" ht="18.75" x14ac:dyDescent="0.3">
      <c r="E11" s="10"/>
      <c r="F11" s="51"/>
      <c r="G11" s="51"/>
      <c r="H11" s="37"/>
      <c r="I11" s="51"/>
      <c r="J11" s="39">
        <f>SUM(J4:J10)</f>
        <v>63.631739999999994</v>
      </c>
      <c r="K11" s="6"/>
      <c r="L11" s="2"/>
      <c r="M11" s="10"/>
      <c r="N11" s="10"/>
      <c r="O11" s="10"/>
      <c r="P11" s="10"/>
    </row>
    <row r="12" spans="5:19" ht="18.75" x14ac:dyDescent="0.3">
      <c r="E12" s="10"/>
      <c r="F12" s="51"/>
      <c r="G12" s="51"/>
      <c r="H12" s="37"/>
      <c r="I12" s="51"/>
      <c r="J12" s="39"/>
      <c r="K12" s="6"/>
      <c r="L12" s="2"/>
      <c r="M12" s="10"/>
      <c r="N12" s="10"/>
      <c r="O12" s="10"/>
      <c r="P12" s="10"/>
    </row>
    <row r="13" spans="5:19" ht="18.75" x14ac:dyDescent="0.3">
      <c r="E13" s="10" t="s">
        <v>495</v>
      </c>
      <c r="F13" s="48">
        <v>0.34</v>
      </c>
      <c r="G13" s="50">
        <f>'Push Production'!J21</f>
        <v>670</v>
      </c>
      <c r="H13" s="39"/>
      <c r="I13" s="48">
        <f>'Push Production'!L21</f>
        <v>15</v>
      </c>
      <c r="J13" s="39">
        <f>L13*'Push Production'!L21*G13</f>
        <v>58.792499999999997</v>
      </c>
      <c r="K13" s="6"/>
      <c r="L13" s="2">
        <f>11.7/2000</f>
        <v>5.8499999999999993E-3</v>
      </c>
      <c r="M13" s="10"/>
      <c r="N13" s="10"/>
      <c r="O13" s="10"/>
      <c r="P13" s="10"/>
    </row>
    <row r="14" spans="5:19" ht="18.75" x14ac:dyDescent="0.3">
      <c r="E14" s="10" t="s">
        <v>424</v>
      </c>
      <c r="F14" s="48">
        <v>0.46</v>
      </c>
      <c r="G14" s="50">
        <f>G30</f>
        <v>692.86</v>
      </c>
      <c r="H14" s="39">
        <f>I30</f>
        <v>0.42049999999999998</v>
      </c>
      <c r="I14" s="48">
        <f>'Push Production'!L19</f>
        <v>0</v>
      </c>
      <c r="J14" s="39">
        <f>I14*H14*N27</f>
        <v>0</v>
      </c>
      <c r="K14" s="6"/>
      <c r="L14" s="2">
        <f>2000*F8</f>
        <v>360</v>
      </c>
      <c r="M14" s="10"/>
      <c r="N14" s="10"/>
      <c r="O14" s="10"/>
      <c r="P14" s="10"/>
    </row>
    <row r="15" spans="5:19" ht="18.75" x14ac:dyDescent="0.3">
      <c r="E15" s="10" t="s">
        <v>431</v>
      </c>
      <c r="F15" s="48">
        <v>0.52</v>
      </c>
      <c r="G15" s="50">
        <f>G35</f>
        <v>802.47</v>
      </c>
      <c r="H15" s="39">
        <f>I35</f>
        <v>0.44650000000000001</v>
      </c>
      <c r="I15" s="48">
        <f>'Push Production'!L20</f>
        <v>0</v>
      </c>
      <c r="J15" s="39">
        <f>I15*H15*N32</f>
        <v>0</v>
      </c>
      <c r="K15" s="6"/>
      <c r="L15" s="2">
        <f>2000*F10</f>
        <v>420</v>
      </c>
      <c r="M15" s="10"/>
      <c r="N15" s="10"/>
      <c r="O15" s="10"/>
      <c r="P15" s="10"/>
    </row>
    <row r="16" spans="5:19" ht="18.75" x14ac:dyDescent="0.3">
      <c r="E16" s="10" t="s">
        <v>416</v>
      </c>
      <c r="F16" s="52">
        <v>0.6</v>
      </c>
      <c r="G16" s="50">
        <f>'Push Production'!J22</f>
        <v>500</v>
      </c>
      <c r="H16" s="39">
        <f>G16/2000</f>
        <v>0.25</v>
      </c>
      <c r="I16" s="48">
        <f>'Push Production'!L22</f>
        <v>150</v>
      </c>
      <c r="J16" s="40">
        <f>I16*H16</f>
        <v>37.5</v>
      </c>
      <c r="K16" s="6"/>
      <c r="L16" s="2">
        <f>2000*F16</f>
        <v>1200</v>
      </c>
      <c r="M16" s="10"/>
      <c r="N16" s="10"/>
      <c r="O16" s="10"/>
      <c r="P16" s="10"/>
    </row>
    <row r="17" spans="5:16" ht="18.75" x14ac:dyDescent="0.3">
      <c r="E17" s="10" t="s">
        <v>498</v>
      </c>
      <c r="F17" s="52">
        <v>0.22</v>
      </c>
      <c r="G17" s="50">
        <f>'Push Production'!J23</f>
        <v>0</v>
      </c>
      <c r="H17" s="39">
        <f>G17/2000</f>
        <v>0</v>
      </c>
      <c r="I17" s="48">
        <f>'Push Production'!L23</f>
        <v>0</v>
      </c>
      <c r="J17" s="40">
        <f>I17*H17</f>
        <v>0</v>
      </c>
      <c r="K17" s="6"/>
      <c r="L17" s="2">
        <f>2000*F17</f>
        <v>440</v>
      </c>
      <c r="M17" s="10"/>
      <c r="N17" s="10"/>
      <c r="O17" s="10"/>
      <c r="P17" s="10"/>
    </row>
    <row r="18" spans="5:16" ht="18.75" x14ac:dyDescent="0.3">
      <c r="E18" s="10" t="s">
        <v>453</v>
      </c>
      <c r="F18" s="48">
        <v>0.26</v>
      </c>
      <c r="G18" s="50">
        <f>G47</f>
        <v>505.55799999999999</v>
      </c>
      <c r="H18" s="39">
        <f>G18/(2000*N44)</f>
        <v>4.8611346153846151E-4</v>
      </c>
      <c r="I18" s="52">
        <f>'Push Production'!L17</f>
        <v>0</v>
      </c>
      <c r="J18" s="46">
        <f>I18*H18*N39</f>
        <v>0</v>
      </c>
      <c r="K18" s="6"/>
      <c r="L18" s="2">
        <f>2000*F18</f>
        <v>520</v>
      </c>
      <c r="M18" s="10"/>
      <c r="N18" s="10"/>
      <c r="O18" s="10"/>
      <c r="P18" s="10"/>
    </row>
    <row r="19" spans="5:16" ht="18.75" x14ac:dyDescent="0.3">
      <c r="E19" s="10" t="s">
        <v>452</v>
      </c>
      <c r="F19" s="48">
        <v>0.24</v>
      </c>
      <c r="G19" s="50">
        <f>G42</f>
        <v>366.17</v>
      </c>
      <c r="H19" s="39">
        <f>G19/(2000*N40)</f>
        <v>0.34328437499999997</v>
      </c>
      <c r="I19" s="52">
        <f>'Push Production'!L24</f>
        <v>56</v>
      </c>
      <c r="J19" s="46">
        <f>I19*H19*N40</f>
        <v>10.252759999999999</v>
      </c>
      <c r="K19" s="6"/>
      <c r="L19" s="2">
        <f>2000*F19</f>
        <v>480</v>
      </c>
      <c r="M19" s="10"/>
      <c r="N19" s="10"/>
      <c r="O19" s="10"/>
      <c r="P19" s="10"/>
    </row>
    <row r="20" spans="5:16" ht="18.75" x14ac:dyDescent="0.3">
      <c r="E20" s="10" t="s">
        <v>500</v>
      </c>
      <c r="F20" s="43">
        <v>0.17</v>
      </c>
      <c r="G20" s="50">
        <f>'Push Production'!J25</f>
        <v>0</v>
      </c>
      <c r="H20" s="39">
        <f>G20/2000</f>
        <v>0</v>
      </c>
      <c r="I20" s="66">
        <f>'Push Production'!L25</f>
        <v>0</v>
      </c>
      <c r="J20" s="40">
        <f>I20*H20</f>
        <v>0</v>
      </c>
      <c r="K20" s="6"/>
      <c r="L20" s="2">
        <f>2000*F20</f>
        <v>340</v>
      </c>
      <c r="M20" s="10"/>
      <c r="N20" s="10"/>
      <c r="O20" s="10"/>
      <c r="P20" s="10"/>
    </row>
    <row r="21" spans="5:16" ht="18.75" x14ac:dyDescent="0.3">
      <c r="E21" s="10"/>
      <c r="F21" s="37"/>
      <c r="G21" s="37"/>
      <c r="H21" s="37"/>
      <c r="I21" s="37"/>
      <c r="J21" s="39">
        <f>SUM(J13:J20)</f>
        <v>106.54525999999998</v>
      </c>
      <c r="K21" s="2"/>
      <c r="L21" s="10"/>
      <c r="M21" s="10"/>
      <c r="N21" s="10"/>
      <c r="O21" s="8"/>
      <c r="P21" s="8">
        <f>SUM(M26:N26)</f>
        <v>1280</v>
      </c>
    </row>
    <row r="22" spans="5:16" ht="18.75" x14ac:dyDescent="0.3">
      <c r="E22" s="10"/>
      <c r="F22" s="37"/>
      <c r="G22" s="37"/>
      <c r="H22" s="37"/>
      <c r="I22" s="8"/>
      <c r="J22" s="8"/>
      <c r="K22" s="2"/>
      <c r="L22" s="10"/>
      <c r="M22" s="10"/>
      <c r="N22" s="10"/>
      <c r="O22" s="8"/>
      <c r="P22" s="8">
        <f>SUM(M27:N27)</f>
        <v>1</v>
      </c>
    </row>
    <row r="23" spans="5:16" ht="18.75" x14ac:dyDescent="0.3">
      <c r="E23" s="10"/>
      <c r="F23" s="42"/>
      <c r="G23" s="42"/>
      <c r="H23" s="37"/>
      <c r="I23" s="43" t="s">
        <v>417</v>
      </c>
      <c r="J23" s="47">
        <f>J11+J21</f>
        <v>170.17699999999996</v>
      </c>
      <c r="K23" s="2"/>
      <c r="L23" s="10"/>
      <c r="M23" s="7"/>
      <c r="N23" s="7"/>
      <c r="O23" s="7"/>
      <c r="P23" s="7"/>
    </row>
    <row r="24" spans="5:16" ht="18.75" x14ac:dyDescent="0.3">
      <c r="E24" s="10"/>
      <c r="F24" s="37"/>
      <c r="G24" s="37"/>
      <c r="H24" s="37"/>
      <c r="I24" s="37"/>
      <c r="J24" s="37"/>
      <c r="K24" s="6"/>
      <c r="L24" s="7"/>
      <c r="M24" s="7"/>
      <c r="N24" s="7"/>
      <c r="O24" s="7"/>
      <c r="P24" s="7"/>
    </row>
    <row r="25" spans="5:16" ht="18.75" x14ac:dyDescent="0.3">
      <c r="E25" s="10"/>
      <c r="F25" s="37"/>
      <c r="G25" s="37"/>
      <c r="H25" s="37"/>
      <c r="I25" s="37"/>
      <c r="J25" s="37"/>
      <c r="K25" s="6"/>
      <c r="L25" s="7"/>
      <c r="M25" s="7"/>
      <c r="N25" s="7"/>
      <c r="O25" s="7"/>
      <c r="P25" s="7"/>
    </row>
    <row r="26" spans="5:16" ht="18.75" x14ac:dyDescent="0.3">
      <c r="E26" s="270" t="s">
        <v>418</v>
      </c>
      <c r="F26" s="271"/>
      <c r="G26" s="271"/>
      <c r="H26" s="271"/>
      <c r="I26" s="271"/>
      <c r="J26" s="272"/>
      <c r="K26" s="6"/>
      <c r="L26" s="7"/>
      <c r="M26" s="8">
        <f>2000*(F28/100)</f>
        <v>360</v>
      </c>
      <c r="N26" s="8">
        <f>2000*(G28/100)</f>
        <v>920</v>
      </c>
      <c r="O26" s="7"/>
      <c r="P26" s="7"/>
    </row>
    <row r="27" spans="5:16" ht="18.75" x14ac:dyDescent="0.3">
      <c r="E27" s="10"/>
      <c r="F27" s="37" t="s">
        <v>51</v>
      </c>
      <c r="G27" s="37" t="s">
        <v>52</v>
      </c>
      <c r="H27" s="37" t="s">
        <v>419</v>
      </c>
      <c r="I27" s="37"/>
      <c r="J27" s="37"/>
      <c r="K27" s="6"/>
      <c r="L27" s="7"/>
      <c r="M27" s="53">
        <f>M26/(M26+N26)</f>
        <v>0.28125</v>
      </c>
      <c r="N27" s="53">
        <f>N26/(M26+N26)</f>
        <v>0.71875</v>
      </c>
      <c r="O27" s="7"/>
      <c r="P27" s="7"/>
    </row>
    <row r="28" spans="5:16" ht="18.75" x14ac:dyDescent="0.3">
      <c r="E28" s="10"/>
      <c r="F28" s="48">
        <f>F8*100</f>
        <v>18</v>
      </c>
      <c r="G28" s="48">
        <f>F14*100</f>
        <v>46</v>
      </c>
      <c r="H28" s="49">
        <f>'Push Production'!J19</f>
        <v>841</v>
      </c>
      <c r="I28" s="37"/>
      <c r="J28" s="37"/>
      <c r="K28" s="6"/>
      <c r="L28" s="7" t="s">
        <v>364</v>
      </c>
      <c r="M28" s="7"/>
      <c r="N28" s="7"/>
      <c r="O28" s="7"/>
      <c r="P28" s="7"/>
    </row>
    <row r="29" spans="5:16" ht="18.75" x14ac:dyDescent="0.3">
      <c r="E29" s="10" t="s">
        <v>413</v>
      </c>
      <c r="F29" s="50">
        <f>H4</f>
        <v>0.41149999999999998</v>
      </c>
      <c r="G29" s="28">
        <f>G30/N26</f>
        <v>0.75310869565217398</v>
      </c>
      <c r="H29" s="42"/>
      <c r="I29" s="37"/>
      <c r="J29" s="37"/>
      <c r="K29" s="6"/>
      <c r="L29" s="7" t="s">
        <v>365</v>
      </c>
      <c r="M29" s="7"/>
      <c r="N29" s="7"/>
      <c r="O29" s="7"/>
      <c r="P29" s="7"/>
    </row>
    <row r="30" spans="5:16" ht="18.75" x14ac:dyDescent="0.3">
      <c r="E30" s="10" t="s">
        <v>412</v>
      </c>
      <c r="F30" s="28">
        <f>M26*F29</f>
        <v>148.13999999999999</v>
      </c>
      <c r="G30" s="28">
        <f>H28-F30</f>
        <v>692.86</v>
      </c>
      <c r="H30" s="28">
        <f>SUM(F30:G30)</f>
        <v>841</v>
      </c>
      <c r="I30" s="57">
        <f>H30/2000</f>
        <v>0.42049999999999998</v>
      </c>
      <c r="J30" s="42"/>
      <c r="K30" s="6"/>
      <c r="L30" s="7"/>
      <c r="M30" s="7"/>
      <c r="N30" s="7"/>
      <c r="O30" s="7"/>
      <c r="P30" s="7"/>
    </row>
    <row r="31" spans="5:16" ht="18.75" x14ac:dyDescent="0.3">
      <c r="E31" s="7"/>
      <c r="F31" s="44"/>
      <c r="G31" s="44"/>
      <c r="H31" s="44"/>
      <c r="I31" s="44"/>
      <c r="J31" s="44"/>
      <c r="K31" s="6"/>
      <c r="L31" s="7"/>
      <c r="M31" s="8">
        <f>2000*(F33/100)</f>
        <v>220</v>
      </c>
      <c r="N31" s="8">
        <f>2000*(G33/100)</f>
        <v>1040</v>
      </c>
      <c r="O31" s="7"/>
      <c r="P31" s="7"/>
    </row>
    <row r="32" spans="5:16" ht="18.75" x14ac:dyDescent="0.3">
      <c r="E32" s="10"/>
      <c r="F32" s="37" t="s">
        <v>51</v>
      </c>
      <c r="G32" s="37" t="s">
        <v>52</v>
      </c>
      <c r="H32" s="37" t="s">
        <v>419</v>
      </c>
      <c r="I32" s="37"/>
      <c r="J32" s="37"/>
      <c r="K32" s="6"/>
      <c r="L32" s="7"/>
      <c r="M32" s="53">
        <f>M31/(M31+N31)</f>
        <v>0.17460317460317459</v>
      </c>
      <c r="N32" s="53">
        <f>N31/(M31+N31)</f>
        <v>0.82539682539682535</v>
      </c>
      <c r="O32" s="7"/>
      <c r="P32" s="7"/>
    </row>
    <row r="33" spans="5:16" ht="18.75" x14ac:dyDescent="0.3">
      <c r="E33" s="10"/>
      <c r="F33" s="48">
        <f>F9*100</f>
        <v>11</v>
      </c>
      <c r="G33" s="48">
        <f>F15*100</f>
        <v>52</v>
      </c>
      <c r="H33" s="49">
        <f>'Push Production'!J20</f>
        <v>893</v>
      </c>
      <c r="I33" s="37"/>
      <c r="J33" s="37"/>
      <c r="K33" s="6"/>
      <c r="L33" s="7" t="s">
        <v>364</v>
      </c>
      <c r="M33" s="7"/>
      <c r="N33" s="7"/>
      <c r="O33" s="7"/>
      <c r="P33" s="7"/>
    </row>
    <row r="34" spans="5:16" ht="18.75" x14ac:dyDescent="0.3">
      <c r="E34" s="10" t="s">
        <v>413</v>
      </c>
      <c r="F34" s="50">
        <f>H4</f>
        <v>0.41149999999999998</v>
      </c>
      <c r="G34" s="28">
        <f>G35/N31</f>
        <v>0.77160576923076929</v>
      </c>
      <c r="H34" s="42"/>
      <c r="I34" s="37"/>
      <c r="J34" s="37"/>
      <c r="K34" s="6"/>
      <c r="L34" s="7" t="s">
        <v>365</v>
      </c>
      <c r="M34" s="7"/>
      <c r="N34" s="7"/>
      <c r="O34" s="7"/>
      <c r="P34" s="7"/>
    </row>
    <row r="35" spans="5:16" ht="18.75" x14ac:dyDescent="0.3">
      <c r="E35" s="10" t="s">
        <v>412</v>
      </c>
      <c r="F35" s="28">
        <f>M31*F34</f>
        <v>90.53</v>
      </c>
      <c r="G35" s="28">
        <f>H33-F35</f>
        <v>802.47</v>
      </c>
      <c r="H35" s="28">
        <f>SUM(F35:G35)</f>
        <v>893</v>
      </c>
      <c r="I35" s="57">
        <f>H35/2000</f>
        <v>0.44650000000000001</v>
      </c>
      <c r="J35" s="42"/>
      <c r="K35" s="6"/>
      <c r="L35" s="7"/>
      <c r="M35" s="7"/>
      <c r="N35" s="7"/>
      <c r="O35" s="7"/>
      <c r="P35" s="7"/>
    </row>
    <row r="36" spans="5:16" ht="18.75" x14ac:dyDescent="0.3">
      <c r="E36" s="6"/>
      <c r="F36" s="8"/>
      <c r="G36" s="8"/>
      <c r="H36" s="8"/>
      <c r="I36" s="8"/>
      <c r="J36" s="8"/>
      <c r="K36" s="6"/>
      <c r="L36" s="7"/>
      <c r="M36" s="7"/>
      <c r="N36" s="7"/>
      <c r="O36" s="7"/>
      <c r="P36" s="7"/>
    </row>
    <row r="37" spans="5:16" ht="18.75" x14ac:dyDescent="0.3">
      <c r="E37" s="6"/>
      <c r="F37" s="8"/>
      <c r="G37" s="8"/>
      <c r="H37" s="8"/>
      <c r="I37" s="8"/>
      <c r="J37" s="8"/>
      <c r="K37" s="6"/>
      <c r="L37" s="7"/>
      <c r="M37" s="7"/>
      <c r="N37" s="7"/>
      <c r="O37" s="7"/>
      <c r="P37" s="7"/>
    </row>
    <row r="38" spans="5:16" ht="18.75" x14ac:dyDescent="0.3">
      <c r="E38" s="270" t="s">
        <v>420</v>
      </c>
      <c r="F38" s="271"/>
      <c r="G38" s="271"/>
      <c r="H38" s="271"/>
      <c r="I38" s="271"/>
      <c r="J38" s="272"/>
      <c r="K38" s="6"/>
      <c r="L38" s="7"/>
      <c r="M38" s="7"/>
      <c r="N38" s="7"/>
      <c r="O38" s="7"/>
      <c r="P38" s="7"/>
    </row>
    <row r="39" spans="5:16" ht="18.75" x14ac:dyDescent="0.3">
      <c r="E39" s="10"/>
      <c r="F39" s="37" t="s">
        <v>51</v>
      </c>
      <c r="G39" s="37" t="s">
        <v>53</v>
      </c>
      <c r="H39" s="37" t="s">
        <v>419</v>
      </c>
      <c r="I39" s="37"/>
      <c r="J39" s="37"/>
      <c r="K39" s="6"/>
      <c r="L39" s="7"/>
      <c r="M39" s="8">
        <f>2000*(F40/100)</f>
        <v>420</v>
      </c>
      <c r="N39" s="8">
        <f>2000*(G40/100)</f>
        <v>480</v>
      </c>
      <c r="O39" s="7"/>
      <c r="P39" s="7"/>
    </row>
    <row r="40" spans="5:16" ht="18.75" x14ac:dyDescent="0.3">
      <c r="E40" s="10" t="s">
        <v>501</v>
      </c>
      <c r="F40" s="48">
        <f>F10*100</f>
        <v>21</v>
      </c>
      <c r="G40" s="48">
        <f>F19*100</f>
        <v>24</v>
      </c>
      <c r="H40" s="49">
        <f>'Push Production'!J24</f>
        <v>539</v>
      </c>
      <c r="I40" s="37"/>
      <c r="J40" s="37"/>
      <c r="K40" s="6"/>
      <c r="L40" s="7"/>
      <c r="M40" s="53">
        <f>M39/(M39+N39)</f>
        <v>0.46666666666666667</v>
      </c>
      <c r="N40" s="53">
        <f>N39/(M39+N39)</f>
        <v>0.53333333333333333</v>
      </c>
      <c r="O40" s="7"/>
      <c r="P40" s="7"/>
    </row>
    <row r="41" spans="5:16" ht="18.75" x14ac:dyDescent="0.3">
      <c r="E41" s="10" t="s">
        <v>413</v>
      </c>
      <c r="F41" s="50">
        <f>H4</f>
        <v>0.41149999999999998</v>
      </c>
      <c r="G41" s="27">
        <f>G42/N39</f>
        <v>0.76285416666666672</v>
      </c>
      <c r="H41" s="43"/>
      <c r="I41" s="37"/>
      <c r="J41" s="37"/>
      <c r="K41" s="6"/>
      <c r="L41" s="7" t="s">
        <v>364</v>
      </c>
      <c r="M41" s="7"/>
      <c r="N41" s="7"/>
      <c r="O41" s="7"/>
      <c r="P41" s="7"/>
    </row>
    <row r="42" spans="5:16" ht="18.75" x14ac:dyDescent="0.3">
      <c r="E42" s="10" t="s">
        <v>412</v>
      </c>
      <c r="F42" s="28">
        <f>M39*F41</f>
        <v>172.82999999999998</v>
      </c>
      <c r="G42" s="28">
        <f>H40-F42</f>
        <v>366.17</v>
      </c>
      <c r="H42" s="28">
        <f>SUM(F42:G42)</f>
        <v>539</v>
      </c>
      <c r="I42" s="42"/>
      <c r="J42" s="42"/>
      <c r="K42" s="6"/>
      <c r="L42" s="7" t="s">
        <v>365</v>
      </c>
      <c r="M42" s="7"/>
      <c r="N42" s="7"/>
      <c r="O42" s="7"/>
      <c r="P42" s="7"/>
    </row>
    <row r="43" spans="5:16" ht="18.75" x14ac:dyDescent="0.3">
      <c r="E43" s="7"/>
      <c r="F43" s="44"/>
      <c r="G43" s="44"/>
      <c r="H43" s="44"/>
      <c r="I43" s="44"/>
      <c r="J43" s="44"/>
      <c r="K43" s="6"/>
      <c r="L43" s="7"/>
      <c r="M43" s="7"/>
      <c r="N43" s="7"/>
    </row>
    <row r="44" spans="5:16" ht="18.75" x14ac:dyDescent="0.3">
      <c r="E44" s="10"/>
      <c r="F44" s="37" t="s">
        <v>51</v>
      </c>
      <c r="G44" s="37" t="s">
        <v>53</v>
      </c>
      <c r="H44" s="37" t="s">
        <v>419</v>
      </c>
      <c r="I44" s="37"/>
      <c r="J44" s="37"/>
      <c r="K44" s="6"/>
      <c r="L44" s="7"/>
      <c r="M44" s="8">
        <f>2000*(F45/100)</f>
        <v>240</v>
      </c>
      <c r="N44" s="8">
        <f>2000*(G45/100)</f>
        <v>520</v>
      </c>
    </row>
    <row r="45" spans="5:16" ht="18.75" x14ac:dyDescent="0.3">
      <c r="E45" s="10" t="s">
        <v>502</v>
      </c>
      <c r="F45" s="48">
        <v>12</v>
      </c>
      <c r="G45" s="48">
        <v>26</v>
      </c>
      <c r="H45" s="49">
        <f>'Push Production'!J17</f>
        <v>550</v>
      </c>
      <c r="I45" s="37"/>
      <c r="J45" s="37"/>
      <c r="K45" s="6"/>
      <c r="L45" s="7"/>
      <c r="M45" s="53">
        <f>M44/(M44+N44)</f>
        <v>0.31578947368421051</v>
      </c>
      <c r="N45" s="53">
        <f>N44/(M44+N44)</f>
        <v>0.68421052631578949</v>
      </c>
    </row>
    <row r="46" spans="5:16" ht="18.75" x14ac:dyDescent="0.3">
      <c r="E46" s="10" t="s">
        <v>413</v>
      </c>
      <c r="F46" s="50">
        <f>H10</f>
        <v>0.18517499999999998</v>
      </c>
      <c r="G46" s="51">
        <f>G47/N44</f>
        <v>0.97222692307692304</v>
      </c>
      <c r="H46" s="43"/>
      <c r="I46" s="37"/>
      <c r="J46" s="37"/>
      <c r="K46" s="6"/>
      <c r="L46" s="7" t="s">
        <v>364</v>
      </c>
      <c r="M46" s="7"/>
      <c r="N46" s="7"/>
    </row>
    <row r="47" spans="5:16" ht="18.75" x14ac:dyDescent="0.3">
      <c r="E47" s="10" t="s">
        <v>412</v>
      </c>
      <c r="F47" s="28">
        <f>M44*F46</f>
        <v>44.441999999999993</v>
      </c>
      <c r="G47" s="28">
        <f>H45-F47</f>
        <v>505.55799999999999</v>
      </c>
      <c r="H47" s="28">
        <f>SUM(F47:G47)</f>
        <v>550</v>
      </c>
      <c r="I47" s="42"/>
      <c r="J47" s="42"/>
      <c r="K47" s="6"/>
      <c r="L47" s="7" t="s">
        <v>365</v>
      </c>
    </row>
  </sheetData>
  <mergeCells count="2">
    <mergeCell ref="E26:J26"/>
    <mergeCell ref="E38:J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081D-DD0E-432C-A936-7A0FA488BEF4}">
  <dimension ref="A1:L44"/>
  <sheetViews>
    <sheetView workbookViewId="0">
      <selection activeCell="F54" sqref="F54"/>
    </sheetView>
  </sheetViews>
  <sheetFormatPr defaultRowHeight="15" x14ac:dyDescent="0.25"/>
  <cols>
    <col min="1" max="1" width="23.28515625" bestFit="1" customWidth="1"/>
    <col min="2" max="2" width="10.85546875" bestFit="1" customWidth="1"/>
    <col min="3" max="3" width="10.5703125" bestFit="1" customWidth="1"/>
    <col min="4" max="4" width="18.42578125" bestFit="1" customWidth="1"/>
    <col min="9" max="9" width="15.7109375" bestFit="1" customWidth="1"/>
    <col min="10" max="10" width="10.85546875" bestFit="1" customWidth="1"/>
    <col min="11" max="11" width="10.5703125" bestFit="1" customWidth="1"/>
    <col min="12" max="12" width="18.42578125" bestFit="1" customWidth="1"/>
  </cols>
  <sheetData>
    <row r="1" spans="1:12" x14ac:dyDescent="0.25">
      <c r="B1" t="s">
        <v>377</v>
      </c>
      <c r="C1" t="s">
        <v>58</v>
      </c>
      <c r="D1" t="s">
        <v>378</v>
      </c>
      <c r="J1" t="s">
        <v>377</v>
      </c>
      <c r="K1" t="s">
        <v>58</v>
      </c>
      <c r="L1" t="s">
        <v>378</v>
      </c>
    </row>
    <row r="2" spans="1:12" ht="15.75" x14ac:dyDescent="0.25">
      <c r="A2" s="11" t="s">
        <v>36</v>
      </c>
      <c r="B2" s="12" t="e">
        <f>'Base Projection'!#REF!</f>
        <v>#REF!</v>
      </c>
      <c r="C2" s="12">
        <f>'Base Projection'!E19</f>
        <v>58.370000000000005</v>
      </c>
      <c r="D2" s="12" t="e">
        <f>'Base Projection'!#REF!</f>
        <v>#REF!</v>
      </c>
      <c r="I2" t="s">
        <v>379</v>
      </c>
      <c r="J2" s="13" t="e">
        <f>'Base Projection'!#REF!</f>
        <v>#REF!</v>
      </c>
      <c r="K2" s="13">
        <f>'Base Projection'!E40</f>
        <v>354.55475000000001</v>
      </c>
      <c r="L2" s="13" t="e">
        <f>'Base Projection'!#REF!</f>
        <v>#REF!</v>
      </c>
    </row>
    <row r="3" spans="1:12" ht="15.75" x14ac:dyDescent="0.25">
      <c r="A3" s="11" t="s">
        <v>37</v>
      </c>
      <c r="B3" s="12" t="e">
        <f>SUM(B4:B7)</f>
        <v>#REF!</v>
      </c>
      <c r="C3" s="12" t="e">
        <f>SUM(C4:C7)</f>
        <v>#REF!</v>
      </c>
      <c r="D3" s="12" t="e">
        <f>SUM(D4:D7)</f>
        <v>#REF!</v>
      </c>
      <c r="I3" t="s">
        <v>380</v>
      </c>
      <c r="J3" s="13" t="e">
        <f>'Base Projection'!#REF!</f>
        <v>#REF!</v>
      </c>
      <c r="K3" s="13">
        <f>'Base Projection'!E51</f>
        <v>197</v>
      </c>
      <c r="L3" s="13" t="e">
        <f>'Base Projection'!#REF!</f>
        <v>#REF!</v>
      </c>
    </row>
    <row r="4" spans="1:12" ht="15.75" hidden="1" x14ac:dyDescent="0.25">
      <c r="A4" s="14" t="s">
        <v>0</v>
      </c>
      <c r="B4" s="12" t="e">
        <f>'Base Projection'!#REF!</f>
        <v>#REF!</v>
      </c>
      <c r="C4" s="12" t="e">
        <f>'Base Projection'!#REF!</f>
        <v>#REF!</v>
      </c>
      <c r="D4" s="12" t="e">
        <f>'Base Projection'!#REF!</f>
        <v>#REF!</v>
      </c>
      <c r="I4" t="s">
        <v>381</v>
      </c>
      <c r="J4" s="13" t="e">
        <f>'Base Projection'!#REF!</f>
        <v>#REF!</v>
      </c>
      <c r="K4" s="13">
        <f>'Base Projection'!E52</f>
        <v>551.55475000000001</v>
      </c>
      <c r="L4" s="13" t="e">
        <f>'Base Projection'!#REF!</f>
        <v>#REF!</v>
      </c>
    </row>
    <row r="5" spans="1:12" ht="15.75" hidden="1" x14ac:dyDescent="0.25">
      <c r="A5" s="14" t="s">
        <v>1</v>
      </c>
      <c r="B5" s="12" t="e">
        <f>'Base Projection'!#REF!</f>
        <v>#REF!</v>
      </c>
      <c r="C5" s="12" t="e">
        <f>'Base Projection'!#REF!</f>
        <v>#REF!</v>
      </c>
      <c r="D5" s="12" t="e">
        <f>'Base Projection'!#REF!</f>
        <v>#REF!</v>
      </c>
    </row>
    <row r="6" spans="1:12" ht="15.75" hidden="1" x14ac:dyDescent="0.25">
      <c r="A6" s="14" t="s">
        <v>292</v>
      </c>
      <c r="B6" s="12" t="e">
        <f>'Base Projection'!#REF!</f>
        <v>#REF!</v>
      </c>
      <c r="C6" s="12" t="e">
        <f>'Base Projection'!#REF!</f>
        <v>#REF!</v>
      </c>
      <c r="D6" s="12" t="e">
        <f>'Base Projection'!#REF!</f>
        <v>#REF!</v>
      </c>
    </row>
    <row r="7" spans="1:12" ht="15.75" hidden="1" x14ac:dyDescent="0.25">
      <c r="A7" s="14" t="s">
        <v>293</v>
      </c>
      <c r="B7" s="12" t="e">
        <f>'Base Projection'!#REF!</f>
        <v>#REF!</v>
      </c>
      <c r="C7" s="12" t="e">
        <f>'Base Projection'!#REF!</f>
        <v>#REF!</v>
      </c>
      <c r="D7" s="12" t="e">
        <f>'Base Projection'!#REF!</f>
        <v>#REF!</v>
      </c>
    </row>
    <row r="8" spans="1:12" ht="15.75" x14ac:dyDescent="0.25">
      <c r="A8" s="11" t="s">
        <v>257</v>
      </c>
      <c r="B8" s="12" t="e">
        <f>SUM(B9:B11)</f>
        <v>#REF!</v>
      </c>
      <c r="C8" s="12" t="e">
        <f>SUM(C9:C11)</f>
        <v>#REF!</v>
      </c>
      <c r="D8" s="12" t="e">
        <f>SUM(D9:D11)</f>
        <v>#REF!</v>
      </c>
      <c r="I8" t="s">
        <v>381</v>
      </c>
      <c r="J8" s="1" t="e">
        <f>SUM(J2:J3)</f>
        <v>#REF!</v>
      </c>
      <c r="K8" s="1">
        <f t="shared" ref="K8:L8" si="0">SUM(K2:K3)</f>
        <v>551.55475000000001</v>
      </c>
      <c r="L8" s="1" t="e">
        <f t="shared" si="0"/>
        <v>#REF!</v>
      </c>
    </row>
    <row r="9" spans="1:12" ht="15.75" hidden="1" x14ac:dyDescent="0.25">
      <c r="A9" s="14" t="s">
        <v>258</v>
      </c>
      <c r="B9" s="12" t="e">
        <f>'Base Projection'!#REF!</f>
        <v>#REF!</v>
      </c>
      <c r="C9" s="12" t="e">
        <f>'Base Projection'!#REF!</f>
        <v>#REF!</v>
      </c>
      <c r="D9" s="12" t="e">
        <f>'Base Projection'!#REF!</f>
        <v>#REF!</v>
      </c>
    </row>
    <row r="10" spans="1:12" ht="15.75" hidden="1" x14ac:dyDescent="0.25">
      <c r="A10" s="14" t="s">
        <v>55</v>
      </c>
      <c r="B10" s="12" t="e">
        <f>'Base Projection'!#REF!</f>
        <v>#REF!</v>
      </c>
      <c r="C10" s="12" t="e">
        <f>'Base Projection'!#REF!</f>
        <v>#REF!</v>
      </c>
      <c r="D10" s="12" t="e">
        <f>'Base Projection'!#REF!</f>
        <v>#REF!</v>
      </c>
    </row>
    <row r="11" spans="1:12" ht="15.75" hidden="1" x14ac:dyDescent="0.25">
      <c r="A11" s="14" t="s">
        <v>72</v>
      </c>
      <c r="B11" s="12" t="e">
        <f>'Base Projection'!#REF!</f>
        <v>#REF!</v>
      </c>
      <c r="C11" s="12" t="e">
        <f>'Base Projection'!#REF!</f>
        <v>#REF!</v>
      </c>
      <c r="D11" s="12" t="e">
        <f>'Base Projection'!#REF!</f>
        <v>#REF!</v>
      </c>
    </row>
    <row r="12" spans="1:12" ht="15.75" x14ac:dyDescent="0.25">
      <c r="A12" s="11" t="s">
        <v>41</v>
      </c>
      <c r="B12" s="12" t="e">
        <f>'Base Projection'!#REF!</f>
        <v>#REF!</v>
      </c>
      <c r="C12" s="12">
        <f>'Base Projection'!E22</f>
        <v>20</v>
      </c>
      <c r="D12" s="12" t="e">
        <f>'Base Projection'!#REF!</f>
        <v>#REF!</v>
      </c>
    </row>
    <row r="13" spans="1:12" ht="15.75" x14ac:dyDescent="0.25">
      <c r="A13" s="11" t="s">
        <v>253</v>
      </c>
      <c r="B13" s="12" t="e">
        <f>'Base Projection'!#REF!</f>
        <v>#REF!</v>
      </c>
      <c r="C13" s="12">
        <f>'Base Projection'!E23</f>
        <v>2</v>
      </c>
      <c r="D13" s="12" t="e">
        <f>'Base Projection'!#REF!</f>
        <v>#REF!</v>
      </c>
    </row>
    <row r="14" spans="1:12" ht="15.75" x14ac:dyDescent="0.25">
      <c r="A14" s="11" t="s">
        <v>47</v>
      </c>
      <c r="B14" s="12" t="e">
        <f>'Base Projection'!#REF!</f>
        <v>#REF!</v>
      </c>
      <c r="C14" s="12" t="e">
        <f>'Base Projection'!#REF!</f>
        <v>#REF!</v>
      </c>
      <c r="D14" s="12" t="e">
        <f>'Base Projection'!#REF!</f>
        <v>#REF!</v>
      </c>
    </row>
    <row r="15" spans="1:12" ht="15.75" x14ac:dyDescent="0.25">
      <c r="A15" s="11" t="s">
        <v>43</v>
      </c>
      <c r="B15" s="12" t="e">
        <f>SUM(B16:B17)</f>
        <v>#REF!</v>
      </c>
      <c r="C15" s="12" t="e">
        <f>SUM(C16:C17)</f>
        <v>#REF!</v>
      </c>
      <c r="D15" s="12" t="e">
        <f>SUM(D16:D17)</f>
        <v>#REF!</v>
      </c>
    </row>
    <row r="16" spans="1:12" ht="15.75" hidden="1" x14ac:dyDescent="0.25">
      <c r="A16" s="15" t="s">
        <v>44</v>
      </c>
      <c r="B16" s="12" t="e">
        <f>'Base Projection'!#REF!</f>
        <v>#REF!</v>
      </c>
      <c r="C16" s="12" t="e">
        <f>'Base Projection'!#REF!</f>
        <v>#REF!</v>
      </c>
      <c r="D16" s="12" t="e">
        <f>'Base Projection'!#REF!</f>
        <v>#REF!</v>
      </c>
    </row>
    <row r="17" spans="1:4" ht="15.75" hidden="1" x14ac:dyDescent="0.25">
      <c r="A17" s="15" t="s">
        <v>45</v>
      </c>
      <c r="B17" s="12" t="e">
        <f>'Base Projection'!#REF!</f>
        <v>#REF!</v>
      </c>
      <c r="C17" s="12" t="e">
        <f>'Base Projection'!#REF!</f>
        <v>#REF!</v>
      </c>
      <c r="D17" s="12" t="e">
        <f>'Base Projection'!#REF!</f>
        <v>#REF!</v>
      </c>
    </row>
    <row r="18" spans="1:4" ht="15.75" x14ac:dyDescent="0.25">
      <c r="A18" s="11" t="s">
        <v>46</v>
      </c>
      <c r="B18" s="12" t="e">
        <f>SUM(B19:B20)</f>
        <v>#REF!</v>
      </c>
      <c r="C18" s="12" t="e">
        <f>SUM(C19:C20)</f>
        <v>#REF!</v>
      </c>
      <c r="D18" s="12" t="e">
        <f>SUM(D19:D20)</f>
        <v>#REF!</v>
      </c>
    </row>
    <row r="19" spans="1:4" ht="15.75" hidden="1" x14ac:dyDescent="0.25">
      <c r="A19" s="16" t="s">
        <v>254</v>
      </c>
      <c r="B19" s="12" t="e">
        <f>'Base Projection'!#REF!</f>
        <v>#REF!</v>
      </c>
      <c r="C19" s="12">
        <f>'Base Projection'!E26</f>
        <v>36</v>
      </c>
      <c r="D19" s="12" t="e">
        <f>'Base Projection'!#REF!</f>
        <v>#REF!</v>
      </c>
    </row>
    <row r="20" spans="1:4" ht="15.75" hidden="1" x14ac:dyDescent="0.25">
      <c r="A20" s="16" t="s">
        <v>255</v>
      </c>
      <c r="B20" s="12" t="e">
        <f>'Base Projection'!#REF!</f>
        <v>#REF!</v>
      </c>
      <c r="C20" s="12" t="e">
        <f>'Base Projection'!#REF!</f>
        <v>#REF!</v>
      </c>
      <c r="D20" s="12" t="e">
        <f>'Base Projection'!#REF!</f>
        <v>#REF!</v>
      </c>
    </row>
    <row r="21" spans="1:4" ht="15.75" x14ac:dyDescent="0.25">
      <c r="A21" s="11" t="s">
        <v>38</v>
      </c>
      <c r="B21" s="12" t="e">
        <f>SUM(B22:B24)</f>
        <v>#REF!</v>
      </c>
      <c r="C21" s="12" t="e">
        <f>SUM(C22:C24)</f>
        <v>#REF!</v>
      </c>
      <c r="D21" s="12" t="e">
        <f>SUM(D22:D24)</f>
        <v>#REF!</v>
      </c>
    </row>
    <row r="22" spans="1:4" ht="15.75" hidden="1" x14ac:dyDescent="0.25">
      <c r="A22" s="15" t="s">
        <v>39</v>
      </c>
      <c r="B22" s="12" t="e">
        <f>'Base Projection'!#REF!</f>
        <v>#REF!</v>
      </c>
      <c r="C22" s="12">
        <f>'Base Projection'!E27</f>
        <v>12</v>
      </c>
      <c r="D22" s="12" t="e">
        <f>'Base Projection'!#REF!</f>
        <v>#REF!</v>
      </c>
    </row>
    <row r="23" spans="1:4" ht="15.75" hidden="1" x14ac:dyDescent="0.25">
      <c r="A23" s="15" t="s">
        <v>40</v>
      </c>
      <c r="B23" s="12" t="e">
        <f>'Base Projection'!#REF!</f>
        <v>#REF!</v>
      </c>
      <c r="C23" s="12">
        <f>'Base Projection'!E28</f>
        <v>5</v>
      </c>
      <c r="D23" s="12" t="e">
        <f>'Base Projection'!#REF!</f>
        <v>#REF!</v>
      </c>
    </row>
    <row r="24" spans="1:4" ht="15.75" hidden="1" x14ac:dyDescent="0.25">
      <c r="A24" s="15" t="s">
        <v>168</v>
      </c>
      <c r="B24" s="12" t="e">
        <f>'Base Projection'!#REF!</f>
        <v>#REF!</v>
      </c>
      <c r="C24" s="12" t="e">
        <f>'Base Projection'!#REF!</f>
        <v>#REF!</v>
      </c>
      <c r="D24" s="12" t="e">
        <f>'Base Projection'!#REF!</f>
        <v>#REF!</v>
      </c>
    </row>
    <row r="25" spans="1:4" ht="15.75" x14ac:dyDescent="0.25">
      <c r="A25" s="11" t="s">
        <v>42</v>
      </c>
      <c r="B25" s="12" t="e">
        <f>'Base Projection'!#REF!</f>
        <v>#REF!</v>
      </c>
      <c r="C25" s="12">
        <f>'Base Projection'!E29</f>
        <v>3</v>
      </c>
      <c r="D25" s="12" t="e">
        <f>'Base Projection'!#REF!</f>
        <v>#REF!</v>
      </c>
    </row>
    <row r="26" spans="1:4" ht="15.75" x14ac:dyDescent="0.25">
      <c r="A26" s="11" t="s">
        <v>48</v>
      </c>
      <c r="B26" s="12" t="e">
        <f>'Base Projection'!#REF!</f>
        <v>#REF!</v>
      </c>
      <c r="C26" s="12">
        <f>'Base Projection'!E30</f>
        <v>1</v>
      </c>
      <c r="D26" s="12" t="e">
        <f>'Base Projection'!#REF!</f>
        <v>#REF!</v>
      </c>
    </row>
    <row r="27" spans="1:4" ht="15.75" x14ac:dyDescent="0.25">
      <c r="A27" s="11" t="s">
        <v>49</v>
      </c>
      <c r="B27" s="12" t="e">
        <f>'Base Projection'!#REF!</f>
        <v>#REF!</v>
      </c>
      <c r="C27" s="12">
        <f>'Base Projection'!E31</f>
        <v>4</v>
      </c>
      <c r="D27" s="12" t="e">
        <f>'Base Projection'!#REF!</f>
        <v>#REF!</v>
      </c>
    </row>
    <row r="28" spans="1:4" ht="15.75" x14ac:dyDescent="0.25">
      <c r="A28" s="11" t="s">
        <v>50</v>
      </c>
      <c r="B28" s="12" t="e">
        <f>SUM(B29:B30)</f>
        <v>#REF!</v>
      </c>
      <c r="C28" s="12" t="e">
        <f>SUM(C29:C30)</f>
        <v>#REF!</v>
      </c>
      <c r="D28" s="12" t="e">
        <f>SUM(D29:D30)</f>
        <v>#REF!</v>
      </c>
    </row>
    <row r="29" spans="1:4" ht="15.75" hidden="1" x14ac:dyDescent="0.25">
      <c r="A29" s="15" t="s">
        <v>56</v>
      </c>
      <c r="B29" s="12" t="e">
        <f>'Base Projection'!#REF!</f>
        <v>#REF!</v>
      </c>
      <c r="C29" s="12" t="e">
        <f>'Base Projection'!#REF!</f>
        <v>#REF!</v>
      </c>
      <c r="D29" s="12" t="e">
        <f>'Base Projection'!#REF!</f>
        <v>#REF!</v>
      </c>
    </row>
    <row r="30" spans="1:4" ht="15.75" hidden="1" x14ac:dyDescent="0.25">
      <c r="A30" s="15" t="s">
        <v>57</v>
      </c>
      <c r="B30" s="12" t="e">
        <f>'Base Projection'!#REF!</f>
        <v>#REF!</v>
      </c>
      <c r="C30" s="12" t="e">
        <f>'Base Projection'!#REF!</f>
        <v>#REF!</v>
      </c>
      <c r="D30" s="12" t="e">
        <f>'Base Projection'!#REF!</f>
        <v>#REF!</v>
      </c>
    </row>
    <row r="31" spans="1:4" ht="15.75" x14ac:dyDescent="0.25">
      <c r="A31" s="11" t="s">
        <v>368</v>
      </c>
      <c r="B31" s="12" t="e">
        <f>'Base Projection'!#REF!</f>
        <v>#REF!</v>
      </c>
      <c r="C31" s="12">
        <f>'Base Projection'!E32</f>
        <v>14</v>
      </c>
      <c r="D31" s="12" t="e">
        <f>'Base Projection'!#REF!</f>
        <v>#REF!</v>
      </c>
    </row>
    <row r="32" spans="1:4" ht="15.75" hidden="1" x14ac:dyDescent="0.25">
      <c r="A32" s="2" t="s">
        <v>367</v>
      </c>
      <c r="B32" s="12" t="e">
        <f>'Base Projection'!#REF!</f>
        <v>#REF!</v>
      </c>
      <c r="C32" s="12">
        <f>'Base Projection'!E35</f>
        <v>7</v>
      </c>
      <c r="D32" s="12" t="e">
        <f>'Base Projection'!#REF!</f>
        <v>#REF!</v>
      </c>
    </row>
    <row r="33" spans="1:4" ht="15.75" hidden="1" x14ac:dyDescent="0.25">
      <c r="A33" s="11" t="s">
        <v>382</v>
      </c>
      <c r="B33" s="12" t="e">
        <f>'Base Projection'!#REF!</f>
        <v>#REF!</v>
      </c>
      <c r="C33" s="12" t="e">
        <f>'Base Projection'!#REF!</f>
        <v>#REF!</v>
      </c>
      <c r="D33" s="12" t="e">
        <f>'Base Projection'!#REF!</f>
        <v>#REF!</v>
      </c>
    </row>
    <row r="34" spans="1:4" ht="15.75" x14ac:dyDescent="0.25">
      <c r="A34" s="2" t="s">
        <v>256</v>
      </c>
      <c r="B34" s="12" t="e">
        <f>'Base Projection'!#REF!</f>
        <v>#REF!</v>
      </c>
      <c r="C34" s="12">
        <f>'Base Projection'!E44</f>
        <v>9</v>
      </c>
      <c r="D34" s="12" t="e">
        <f>'Base Projection'!#REF!</f>
        <v>#REF!</v>
      </c>
    </row>
    <row r="35" spans="1:4" ht="15.75" hidden="1" x14ac:dyDescent="0.25">
      <c r="A35" s="2" t="s">
        <v>374</v>
      </c>
      <c r="B35" s="12" t="e">
        <f>'Base Projection'!#REF!</f>
        <v>#REF!</v>
      </c>
      <c r="C35" s="12" t="e">
        <f>'Base Projection'!#REF!</f>
        <v>#REF!</v>
      </c>
      <c r="D35" s="12" t="e">
        <f>'Base Projection'!#REF!</f>
        <v>#REF!</v>
      </c>
    </row>
    <row r="36" spans="1:4" ht="15.75" x14ac:dyDescent="0.25">
      <c r="A36" s="2" t="s">
        <v>169</v>
      </c>
      <c r="B36" s="12" t="e">
        <f>'Base Projection'!#REF!</f>
        <v>#REF!</v>
      </c>
      <c r="C36" s="12">
        <f>'Base Projection'!E45</f>
        <v>143</v>
      </c>
      <c r="D36" s="12" t="e">
        <f>'Base Projection'!#REF!</f>
        <v>#REF!</v>
      </c>
    </row>
    <row r="37" spans="1:4" ht="15.75" x14ac:dyDescent="0.25">
      <c r="A37" s="2" t="s">
        <v>383</v>
      </c>
      <c r="B37" s="12" t="e">
        <f>'Base Projection'!#REF!</f>
        <v>#REF!</v>
      </c>
      <c r="C37" s="12" t="e">
        <f>'Base Projection'!#REF!</f>
        <v>#REF!</v>
      </c>
      <c r="D37" s="12" t="e">
        <f>'Base Projection'!#REF!</f>
        <v>#REF!</v>
      </c>
    </row>
    <row r="38" spans="1:4" ht="15.75" hidden="1" x14ac:dyDescent="0.25">
      <c r="A38" s="2" t="s">
        <v>384</v>
      </c>
      <c r="B38" s="12" t="e">
        <f>'Base Projection'!#REF!</f>
        <v>#REF!</v>
      </c>
      <c r="C38" s="12">
        <f>'Base Projection'!E50</f>
        <v>0</v>
      </c>
      <c r="D38" s="12" t="e">
        <f>'Base Projection'!#REF!</f>
        <v>#REF!</v>
      </c>
    </row>
    <row r="39" spans="1:4" ht="15.75" x14ac:dyDescent="0.25">
      <c r="A39" s="2" t="s">
        <v>385</v>
      </c>
      <c r="B39" s="12" t="e">
        <f>B38+B33</f>
        <v>#REF!</v>
      </c>
      <c r="C39" s="12" t="e">
        <f t="shared" ref="C39:D39" si="1">C38+C33</f>
        <v>#REF!</v>
      </c>
      <c r="D39" s="12" t="e">
        <f t="shared" si="1"/>
        <v>#REF!</v>
      </c>
    </row>
    <row r="40" spans="1:4" ht="15.75" x14ac:dyDescent="0.25">
      <c r="A40" s="2" t="s">
        <v>288</v>
      </c>
      <c r="B40" s="12" t="e">
        <f>'Base Projection'!#REF!</f>
        <v>#REF!</v>
      </c>
      <c r="C40" s="12" t="e">
        <f>'Base Projection'!#REF!</f>
        <v>#REF!</v>
      </c>
      <c r="D40" s="12" t="e">
        <f>'Base Projection'!#REF!</f>
        <v>#REF!</v>
      </c>
    </row>
    <row r="41" spans="1:4" ht="15.75" x14ac:dyDescent="0.25">
      <c r="A41" s="2" t="s">
        <v>386</v>
      </c>
      <c r="B41" s="12" t="e">
        <f>'Base Projection'!#REF!</f>
        <v>#REF!</v>
      </c>
      <c r="C41" s="12" t="e">
        <f>'Base Projection'!#REF!</f>
        <v>#REF!</v>
      </c>
      <c r="D41" s="12" t="e">
        <f>'Base Projection'!#REF!</f>
        <v>#REF!</v>
      </c>
    </row>
    <row r="42" spans="1:4" ht="15.75" hidden="1" x14ac:dyDescent="0.25">
      <c r="A42" s="2" t="s">
        <v>369</v>
      </c>
      <c r="B42" s="12" t="e">
        <f>'Base Projection'!#REF!</f>
        <v>#REF!</v>
      </c>
      <c r="C42" s="12">
        <f>'Base Projection'!E46</f>
        <v>5</v>
      </c>
      <c r="D42" s="12" t="e">
        <f>'Base Projection'!#REF!</f>
        <v>#REF!</v>
      </c>
    </row>
    <row r="43" spans="1:4" ht="15.75" x14ac:dyDescent="0.25">
      <c r="A43" s="2" t="s">
        <v>387</v>
      </c>
      <c r="B43" s="12" t="e">
        <f>B42+B32</f>
        <v>#REF!</v>
      </c>
      <c r="C43" s="12">
        <f t="shared" ref="C43:D43" si="2">C42+C32</f>
        <v>12</v>
      </c>
      <c r="D43" s="12" t="e">
        <f t="shared" si="2"/>
        <v>#REF!</v>
      </c>
    </row>
    <row r="44" spans="1:4" ht="15.75" x14ac:dyDescent="0.25">
      <c r="A44" s="2" t="s">
        <v>289</v>
      </c>
      <c r="B44" s="12" t="e">
        <f>'Base Projection'!#REF!</f>
        <v>#REF!</v>
      </c>
      <c r="C44" s="12" t="e">
        <f>'Base Projection'!#REF!</f>
        <v>#REF!</v>
      </c>
      <c r="D44" s="12" t="e">
        <f>'Base Projection'!#REF!</f>
        <v>#REF!</v>
      </c>
    </row>
  </sheetData>
  <pageMargins left="0.7" right="0.7" top="0.75" bottom="0.75" header="0.3" footer="0.3"/>
</worksheet>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Instructions</vt:lpstr>
      <vt:lpstr>Base Projection</vt:lpstr>
      <vt:lpstr>Build-Up</vt:lpstr>
      <vt:lpstr>Push Production</vt:lpstr>
      <vt:lpstr>Manure</vt:lpstr>
      <vt:lpstr>Fertilizer Calculations (Base)</vt:lpstr>
      <vt:lpstr>Fertilizer Calculations (Build)</vt:lpstr>
      <vt:lpstr>Fertilizer Calculations (Push)</vt:lpstr>
      <vt:lpstr>Chart Data</vt:lpstr>
      <vt:lpstr>Chemical Master List</vt:lpstr>
      <vt:lpstr>Chemicals</vt:lpstr>
      <vt:lpstr>Foliars</vt:lpstr>
      <vt:lpstr>Fungicides</vt:lpstr>
      <vt:lpstr>'Base Projection'!Print_Area</vt:lpstr>
      <vt:lpstr>'Build-Up'!Print_Area</vt:lpstr>
      <vt:lpstr>Instructions!Print_Area</vt:lpstr>
      <vt:lpstr>'Push Production'!Print_Area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LaPorte, Jonathan P.</dc:creator>
  <cp:lastModifiedBy>LaPorte, Jonathan</cp:lastModifiedBy>
  <cp:lastPrinted>2026-04-01T22:11:47Z</cp:lastPrinted>
  <dcterms:created xsi:type="dcterms:W3CDTF">2018-03-23T14:51:03Z</dcterms:created>
  <dcterms:modified xsi:type="dcterms:W3CDTF">2026-04-07T18:27:34Z</dcterms:modified>
</cp:coreProperties>
</file>